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codeName="ThisWorkbook"/>
  <mc:AlternateContent xmlns:mc="http://schemas.openxmlformats.org/markup-compatibility/2006">
    <mc:Choice Requires="x15">
      <x15ac:absPath xmlns:x15ac="http://schemas.microsoft.com/office/spreadsheetml/2010/11/ac" url="https://qreditsmicrofinanciering-my.sharepoint.com/personal/l_boeringa_qredits_nl/Documents/Documenten/FP 1-11-2026/"/>
    </mc:Choice>
  </mc:AlternateContent>
  <xr:revisionPtr revIDLastSave="0" documentId="8_{14A18969-6771-46A0-A45E-A8BAFB7735D1}" xr6:coauthVersionLast="47" xr6:coauthVersionMax="47" xr10:uidLastSave="{00000000-0000-0000-0000-000000000000}"/>
  <workbookProtection workbookAlgorithmName="SHA-512" workbookHashValue="Nn10WS3/PpBn3WBuTE3uTPpR5vfs9D5kELl9/Mi/+LzorxTify4S2KzFzBF1V/nzYpdS3wxcVjoIvO4QY5hBMg==" workbookSaltValue="1gg7SKSHK9OU+ERy4VKyRg==" workbookSpinCount="100000" lockStructure="1"/>
  <bookViews>
    <workbookView xWindow="-28920" yWindow="-120" windowWidth="29040" windowHeight="15720" tabRatio="637" xr2:uid="{00000000-000D-0000-FFFF-FFFF00000000}"/>
  </bookViews>
  <sheets>
    <sheet name="Intro" sheetId="23" r:id="rId1"/>
    <sheet name="Intro_oud" sheetId="1" state="hidden" r:id="rId2"/>
    <sheet name="VRAGENLIJST" sheetId="6" r:id="rId3"/>
    <sheet name="Privébegroting" sheetId="26" r:id="rId4"/>
    <sheet name="Investering &amp; Financiering" sheetId="2" r:id="rId5"/>
    <sheet name="Liquiditeit" sheetId="3" r:id="rId6"/>
    <sheet name="Exploitatie" sheetId="4" r:id="rId7"/>
    <sheet name="Qredits maandlasten" sheetId="5" r:id="rId8"/>
    <sheet name="Uitleg aftrekposten" sheetId="20" r:id="rId9"/>
    <sheet name="Vertaling" sheetId="22" state="hidden" r:id="rId10"/>
    <sheet name="Schema" sheetId="21" state="hidden" r:id="rId11"/>
    <sheet name="dropdowns" sheetId="18" state="hidden" r:id="rId12"/>
    <sheet name="IB VPB 1" sheetId="19" state="hidden" r:id="rId13"/>
    <sheet name="IB VPB 2" sheetId="24" state="hidden" r:id="rId14"/>
    <sheet name="IB VPB 3" sheetId="25" state="hidden" r:id="rId15"/>
  </sheets>
  <definedNames>
    <definedName name="_xlnm._FilterDatabase" localSheetId="9" hidden="1">Vertaling!$A$1:$E$392</definedName>
    <definedName name="_xlnm.Print_Area" localSheetId="6">Exploitatie!$A$1:$I$50</definedName>
    <definedName name="_xlnm.Print_Area" localSheetId="0">Intro!$A$1:$C$26</definedName>
    <definedName name="_xlnm.Print_Area" localSheetId="1">Intro_oud!$A$1:$C$26</definedName>
    <definedName name="_xlnm.Print_Area" localSheetId="4">'Investering &amp; Financiering'!$A$1:$I$29</definedName>
    <definedName name="_xlnm.Print_Area" localSheetId="5">Liquiditeit!$A$1:$Q$49</definedName>
    <definedName name="_xlnm.Print_Area" localSheetId="7">'Qredits maandlasten'!$A$1:$P$77</definedName>
    <definedName name="_xlnm.Print_Area" localSheetId="8">'Uitleg aftrekposten'!$A$1:$A$15</definedName>
    <definedName name="_xlnm.Print_Area" localSheetId="2">VRAGENLIJST!$A$1:$I$335</definedName>
    <definedName name="_xlnm.Print_Titles" localSheetId="7">'Qredits maandlasten'!$1:$1</definedName>
    <definedName name="_xlnm.Print_Titles" localSheetId="2">VRAGENLIJST!$1:$1</definedName>
    <definedName name="Aflosmethode">dropdowns!$A$120:$A$121</definedName>
    <definedName name="ANNUITEITBEDRAG">OFFSET('Qredits maandlasten'!$B$17,0,'Qredits maandlasten'!$C$11,2,1)</definedName>
    <definedName name="Betalen">dropdowns!$A$72:$A$76</definedName>
    <definedName name="BTW">dropdowns!$A$80:$A$82</definedName>
    <definedName name="Cashflow_met_kosten">OFFSET(Schema!$M$9,0,0,'Qredits maandlasten'!$C$4+1,1)</definedName>
    <definedName name="Cashflow_zonder_kosten">OFFSET(Schema!$L$9,0,0,'Qredits maandlasten'!$C$4+1,1)</definedName>
    <definedName name="Datums">OFFSET(Schema!$C$9,0,0,'Qredits maandlasten'!$C$4+1,1)</definedName>
    <definedName name="Graceperiod">dropdowns!$A$32:$A$40</definedName>
    <definedName name="Inbreng">dropdowns!$A$28:$A$29</definedName>
    <definedName name="Ja_Nee">dropdowns!$A$24:$A$25</definedName>
    <definedName name="Looptijd">dropdowns!$A$93:$A$102</definedName>
    <definedName name="Maanden6">dropdowns!$A$105:$A$111</definedName>
    <definedName name="Meewerkaftrek">dropdowns!$A$85:$A$90</definedName>
    <definedName name="Ondernemers">dropdowns!$A$9:$A$11</definedName>
    <definedName name="Periodiek">dropdowns!#REF!</definedName>
    <definedName name="Periodiek2">dropdowns!#REF!</definedName>
    <definedName name="Rechtsvorm">dropdowns!$A$4:$A$6</definedName>
    <definedName name="Select_your_language">Intro!$B$7</definedName>
    <definedName name="Uitkering">dropdowns!$A$14:$A$21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0" i="23" l="1"/>
  <c r="A8" i="22"/>
  <c r="B30" i="26"/>
  <c r="B186" i="22"/>
  <c r="B187" i="22"/>
  <c r="B188" i="22"/>
  <c r="B189" i="22"/>
  <c r="B190" i="22"/>
  <c r="B191" i="22"/>
  <c r="B192" i="22"/>
  <c r="B193" i="22"/>
  <c r="B185" i="22"/>
  <c r="A181" i="22"/>
  <c r="B1" i="26" s="1"/>
  <c r="A182" i="22"/>
  <c r="A183" i="22"/>
  <c r="B3" i="26" s="1"/>
  <c r="A184" i="22"/>
  <c r="B4" i="26" s="1"/>
  <c r="A185" i="22"/>
  <c r="B5" i="26" s="1"/>
  <c r="A186" i="22"/>
  <c r="B6" i="26" s="1"/>
  <c r="A187" i="22"/>
  <c r="B7" i="26" s="1"/>
  <c r="A188" i="22"/>
  <c r="B8" i="26" s="1"/>
  <c r="A189" i="22"/>
  <c r="B9" i="26" s="1"/>
  <c r="A190" i="22"/>
  <c r="B10" i="26" s="1"/>
  <c r="A191" i="22"/>
  <c r="B11" i="26" s="1"/>
  <c r="A192" i="22"/>
  <c r="B12" i="26" s="1"/>
  <c r="A193" i="22"/>
  <c r="B13" i="26" s="1"/>
  <c r="A194" i="22"/>
  <c r="B14" i="26" s="1"/>
  <c r="A195" i="22"/>
  <c r="B15" i="26" s="1"/>
  <c r="A196" i="22"/>
  <c r="B17" i="26" s="1"/>
  <c r="A197" i="22"/>
  <c r="B18" i="26" s="1"/>
  <c r="A198" i="22"/>
  <c r="B19" i="26" s="1"/>
  <c r="A199" i="22"/>
  <c r="B20" i="26" s="1"/>
  <c r="A200" i="22"/>
  <c r="B21" i="26" s="1"/>
  <c r="A201" i="22"/>
  <c r="B22" i="26" s="1"/>
  <c r="A202" i="22"/>
  <c r="B24" i="26" s="1"/>
  <c r="A203" i="22"/>
  <c r="B27" i="26" s="1"/>
  <c r="A204" i="22"/>
  <c r="B28" i="26" s="1"/>
  <c r="A205" i="22"/>
  <c r="B29" i="26" s="1"/>
  <c r="A207" i="22"/>
  <c r="B31" i="26" s="1"/>
  <c r="A208" i="22"/>
  <c r="B33" i="26" s="1"/>
  <c r="A209" i="22"/>
  <c r="B34" i="26" s="1"/>
  <c r="A210" i="22"/>
  <c r="B35" i="26" s="1"/>
  <c r="A211" i="22"/>
  <c r="B36" i="26" s="1"/>
  <c r="A212" i="22"/>
  <c r="A213" i="22"/>
  <c r="Q59" i="25"/>
  <c r="Q59" i="24"/>
  <c r="Q59" i="19"/>
  <c r="Q11" i="3"/>
  <c r="AE22" i="3"/>
  <c r="AF22" i="3"/>
  <c r="AG22" i="3"/>
  <c r="AH22" i="3"/>
  <c r="AI22" i="3"/>
  <c r="AJ22" i="3"/>
  <c r="AK22" i="3"/>
  <c r="AL22" i="3"/>
  <c r="AM22" i="3"/>
  <c r="AN22" i="3"/>
  <c r="AO22" i="3"/>
  <c r="AD22" i="3"/>
  <c r="AD21" i="3"/>
  <c r="AB22" i="3"/>
  <c r="AA22" i="3"/>
  <c r="Z22" i="3"/>
  <c r="Y22" i="3"/>
  <c r="X22" i="3"/>
  <c r="W22" i="3"/>
  <c r="V22" i="3"/>
  <c r="U22" i="3"/>
  <c r="T22" i="3"/>
  <c r="S22" i="3"/>
  <c r="R22" i="3"/>
  <c r="Q22" i="3"/>
  <c r="O22" i="3"/>
  <c r="N22" i="3"/>
  <c r="M22" i="3"/>
  <c r="L22" i="3"/>
  <c r="K22" i="3"/>
  <c r="J22" i="3"/>
  <c r="I22" i="3"/>
  <c r="H22" i="3"/>
  <c r="G22" i="3"/>
  <c r="F22" i="3"/>
  <c r="E22" i="3"/>
  <c r="D22" i="3"/>
  <c r="E9" i="4"/>
  <c r="G3" i="26" l="1"/>
  <c r="D3" i="26"/>
  <c r="H3" i="26"/>
  <c r="E3" i="26"/>
  <c r="AE32" i="3"/>
  <c r="AF32" i="3"/>
  <c r="AG32" i="3"/>
  <c r="AH32" i="3"/>
  <c r="AI32" i="3"/>
  <c r="AJ32" i="3"/>
  <c r="AK32" i="3"/>
  <c r="AL32" i="3"/>
  <c r="AM32" i="3"/>
  <c r="AN32" i="3"/>
  <c r="AO32" i="3"/>
  <c r="AD32" i="3"/>
  <c r="R32" i="3"/>
  <c r="S32" i="3"/>
  <c r="T32" i="3"/>
  <c r="U32" i="3"/>
  <c r="V32" i="3"/>
  <c r="W32" i="3"/>
  <c r="X32" i="3"/>
  <c r="Y32" i="3"/>
  <c r="Z32" i="3"/>
  <c r="AA32" i="3"/>
  <c r="AB32" i="3"/>
  <c r="Q32" i="3"/>
  <c r="E32" i="3"/>
  <c r="F32" i="3"/>
  <c r="G32" i="3"/>
  <c r="H32" i="3"/>
  <c r="I32" i="3"/>
  <c r="J32" i="3"/>
  <c r="K32" i="3"/>
  <c r="L32" i="3"/>
  <c r="M32" i="3"/>
  <c r="N32" i="3"/>
  <c r="O32" i="3"/>
  <c r="D32" i="3"/>
  <c r="A41" i="18"/>
  <c r="A42" i="18"/>
  <c r="A43" i="18"/>
  <c r="A44" i="18"/>
  <c r="A45" i="18"/>
  <c r="A46" i="18"/>
  <c r="A47" i="18"/>
  <c r="A48" i="18"/>
  <c r="A49" i="18"/>
  <c r="A50" i="18"/>
  <c r="A51" i="18"/>
  <c r="A52" i="18"/>
  <c r="A53" i="18"/>
  <c r="A54" i="18"/>
  <c r="A55" i="18"/>
  <c r="A56" i="18"/>
  <c r="A57" i="18"/>
  <c r="A58" i="18"/>
  <c r="A59" i="18"/>
  <c r="A60" i="18"/>
  <c r="A61" i="18"/>
  <c r="A62" i="18"/>
  <c r="A63" i="18"/>
  <c r="A64" i="18"/>
  <c r="A65" i="18"/>
  <c r="A66" i="18"/>
  <c r="A67" i="18"/>
  <c r="L64" i="25" l="1"/>
  <c r="K64" i="25"/>
  <c r="J64" i="25"/>
  <c r="K63" i="25"/>
  <c r="J63" i="25"/>
  <c r="L62" i="25"/>
  <c r="J62" i="25"/>
  <c r="J61" i="25"/>
  <c r="L59" i="25"/>
  <c r="K59" i="25"/>
  <c r="J59" i="25"/>
  <c r="L58" i="25"/>
  <c r="K58" i="25"/>
  <c r="J58" i="25"/>
  <c r="K57" i="25"/>
  <c r="J57" i="25"/>
  <c r="L56" i="25"/>
  <c r="J56" i="25"/>
  <c r="J55" i="25"/>
  <c r="Q53" i="25"/>
  <c r="N53" i="25"/>
  <c r="M53" i="25"/>
  <c r="J53" i="25"/>
  <c r="Q52" i="25"/>
  <c r="J52" i="25" s="1"/>
  <c r="N52" i="25"/>
  <c r="M52" i="25"/>
  <c r="K52" i="25"/>
  <c r="Q51" i="25"/>
  <c r="N51" i="25"/>
  <c r="M51" i="25"/>
  <c r="K51" i="25"/>
  <c r="J51" i="25"/>
  <c r="Q50" i="25"/>
  <c r="N50" i="25"/>
  <c r="M50" i="25"/>
  <c r="K50" i="25"/>
  <c r="J50" i="25"/>
  <c r="N49" i="25"/>
  <c r="M49" i="25"/>
  <c r="K49" i="25"/>
  <c r="J49" i="25"/>
  <c r="J46" i="25"/>
  <c r="Q44" i="25"/>
  <c r="J44" i="25" s="1"/>
  <c r="N44" i="25"/>
  <c r="M44" i="25"/>
  <c r="Q43" i="25"/>
  <c r="J43" i="25" s="1"/>
  <c r="N43" i="25"/>
  <c r="M43" i="25"/>
  <c r="K43" i="25"/>
  <c r="N42" i="25"/>
  <c r="M42" i="25"/>
  <c r="K42" i="25"/>
  <c r="J42" i="25"/>
  <c r="J39" i="25"/>
  <c r="L37" i="25"/>
  <c r="J37" i="25"/>
  <c r="J34" i="25"/>
  <c r="E34" i="25"/>
  <c r="D34" i="25"/>
  <c r="Q32" i="25"/>
  <c r="L32" i="25"/>
  <c r="J32" i="25"/>
  <c r="Q31" i="25"/>
  <c r="J31" i="25" s="1"/>
  <c r="L31" i="25"/>
  <c r="K31" i="25"/>
  <c r="Q30" i="25"/>
  <c r="J30" i="25" s="1"/>
  <c r="L30" i="25"/>
  <c r="K30" i="25"/>
  <c r="Q29" i="25"/>
  <c r="J29" i="25" s="1"/>
  <c r="L29" i="25"/>
  <c r="K29" i="25"/>
  <c r="L28" i="25"/>
  <c r="K28" i="25"/>
  <c r="J28" i="25"/>
  <c r="J25" i="25"/>
  <c r="E25" i="25"/>
  <c r="E26" i="25" s="1"/>
  <c r="E24" i="25"/>
  <c r="D24" i="25"/>
  <c r="C24" i="25"/>
  <c r="B24" i="25"/>
  <c r="Q23" i="25"/>
  <c r="L23" i="25"/>
  <c r="J23" i="25"/>
  <c r="E23" i="25"/>
  <c r="D23" i="25"/>
  <c r="C23" i="25"/>
  <c r="B23" i="25"/>
  <c r="Q22" i="25"/>
  <c r="J22" i="25" s="1"/>
  <c r="L22" i="25"/>
  <c r="K22" i="25"/>
  <c r="Q21" i="25"/>
  <c r="J21" i="25" s="1"/>
  <c r="L21" i="25"/>
  <c r="K21" i="25"/>
  <c r="Q20" i="25"/>
  <c r="J20" i="25" s="1"/>
  <c r="L20" i="25"/>
  <c r="K20" i="25"/>
  <c r="E20" i="25"/>
  <c r="L19" i="25"/>
  <c r="K19" i="25"/>
  <c r="J19" i="25"/>
  <c r="E19" i="25"/>
  <c r="D19" i="25"/>
  <c r="C19" i="25"/>
  <c r="B19" i="25"/>
  <c r="E18" i="25"/>
  <c r="D18" i="25"/>
  <c r="C18" i="25"/>
  <c r="B18" i="25"/>
  <c r="J16" i="25"/>
  <c r="L14" i="25"/>
  <c r="J14" i="25"/>
  <c r="J11" i="25"/>
  <c r="L9" i="25"/>
  <c r="J9" i="25"/>
  <c r="J6" i="25"/>
  <c r="L64" i="24"/>
  <c r="K64" i="24"/>
  <c r="J64" i="24"/>
  <c r="K63" i="24"/>
  <c r="J63" i="24"/>
  <c r="L62" i="24"/>
  <c r="J62" i="24"/>
  <c r="J61" i="24"/>
  <c r="L59" i="24"/>
  <c r="K59" i="24"/>
  <c r="J59" i="24"/>
  <c r="L58" i="24"/>
  <c r="K58" i="24"/>
  <c r="J58" i="24"/>
  <c r="K57" i="24"/>
  <c r="J57" i="24"/>
  <c r="L56" i="24"/>
  <c r="J56" i="24"/>
  <c r="J55" i="24"/>
  <c r="Q53" i="24"/>
  <c r="J53" i="24" s="1"/>
  <c r="N53" i="24"/>
  <c r="M53" i="24"/>
  <c r="Q52" i="24"/>
  <c r="J52" i="24" s="1"/>
  <c r="N52" i="24"/>
  <c r="M52" i="24"/>
  <c r="K52" i="24"/>
  <c r="Q51" i="24"/>
  <c r="J51" i="24" s="1"/>
  <c r="N51" i="24"/>
  <c r="M51" i="24"/>
  <c r="K51" i="24"/>
  <c r="Q50" i="24"/>
  <c r="J50" i="24" s="1"/>
  <c r="N50" i="24"/>
  <c r="M50" i="24"/>
  <c r="K50" i="24"/>
  <c r="N49" i="24"/>
  <c r="M49" i="24"/>
  <c r="K49" i="24"/>
  <c r="J49" i="24"/>
  <c r="J46" i="24"/>
  <c r="Q44" i="24"/>
  <c r="J44" i="24" s="1"/>
  <c r="N44" i="24"/>
  <c r="M44" i="24"/>
  <c r="Q43" i="24"/>
  <c r="J43" i="24" s="1"/>
  <c r="N43" i="24"/>
  <c r="M43" i="24"/>
  <c r="K43" i="24"/>
  <c r="N42" i="24"/>
  <c r="M42" i="24"/>
  <c r="K42" i="24"/>
  <c r="J42" i="24"/>
  <c r="J39" i="24"/>
  <c r="L37" i="24"/>
  <c r="J37" i="24"/>
  <c r="J34" i="24"/>
  <c r="E34" i="24"/>
  <c r="D34" i="24"/>
  <c r="Q32" i="24"/>
  <c r="J32" i="24" s="1"/>
  <c r="L32" i="24"/>
  <c r="Q31" i="24"/>
  <c r="J31" i="24" s="1"/>
  <c r="L31" i="24"/>
  <c r="K31" i="24"/>
  <c r="Q30" i="24"/>
  <c r="J30" i="24" s="1"/>
  <c r="L30" i="24"/>
  <c r="K30" i="24"/>
  <c r="Q29" i="24"/>
  <c r="L29" i="24"/>
  <c r="K29" i="24"/>
  <c r="J29" i="24"/>
  <c r="L28" i="24"/>
  <c r="K28" i="24"/>
  <c r="J28" i="24"/>
  <c r="J25" i="24"/>
  <c r="E25" i="24"/>
  <c r="E24" i="24"/>
  <c r="D24" i="24"/>
  <c r="C24" i="24"/>
  <c r="B24" i="24"/>
  <c r="Q23" i="24"/>
  <c r="J23" i="24" s="1"/>
  <c r="L23" i="24"/>
  <c r="E23" i="24"/>
  <c r="D23" i="24"/>
  <c r="C23" i="24"/>
  <c r="B23" i="24"/>
  <c r="Q22" i="24"/>
  <c r="J22" i="24" s="1"/>
  <c r="L22" i="24"/>
  <c r="K22" i="24"/>
  <c r="Q21" i="24"/>
  <c r="L21" i="24"/>
  <c r="K21" i="24"/>
  <c r="J21" i="24"/>
  <c r="Q20" i="24"/>
  <c r="J20" i="24" s="1"/>
  <c r="L20" i="24"/>
  <c r="K20" i="24"/>
  <c r="E20" i="24"/>
  <c r="L19" i="24"/>
  <c r="K19" i="24"/>
  <c r="J19" i="24"/>
  <c r="E19" i="24"/>
  <c r="D19" i="24"/>
  <c r="C19" i="24"/>
  <c r="B19" i="24"/>
  <c r="E18" i="24"/>
  <c r="D18" i="24"/>
  <c r="C18" i="24"/>
  <c r="B18" i="24"/>
  <c r="J16" i="24"/>
  <c r="L14" i="24"/>
  <c r="J14" i="24"/>
  <c r="J11" i="24"/>
  <c r="L9" i="24"/>
  <c r="J9" i="24"/>
  <c r="J6" i="24"/>
  <c r="E14" i="4"/>
  <c r="E15" i="4" s="1"/>
  <c r="E16" i="4" s="1"/>
  <c r="E17" i="4" s="1"/>
  <c r="D14" i="4"/>
  <c r="D15" i="4" s="1"/>
  <c r="D16" i="4" s="1"/>
  <c r="D17" i="4" s="1"/>
  <c r="E10" i="4"/>
  <c r="E11" i="4" s="1"/>
  <c r="E12" i="4" s="1"/>
  <c r="D9" i="4"/>
  <c r="C9" i="4"/>
  <c r="E4" i="4"/>
  <c r="E5" i="4" s="1"/>
  <c r="D4" i="4"/>
  <c r="D5" i="4" s="1"/>
  <c r="A310" i="22"/>
  <c r="C3" i="4" s="1"/>
  <c r="H3" i="4" s="1"/>
  <c r="A311" i="22"/>
  <c r="D3" i="4" s="1"/>
  <c r="I3" i="4" s="1"/>
  <c r="A312" i="22"/>
  <c r="E3" i="4" s="1"/>
  <c r="J3" i="4" s="1"/>
  <c r="AE33" i="3"/>
  <c r="AF33" i="3"/>
  <c r="AG33" i="3"/>
  <c r="AH33" i="3"/>
  <c r="AI33" i="3"/>
  <c r="AJ33" i="3"/>
  <c r="AK33" i="3"/>
  <c r="AL33" i="3"/>
  <c r="AM33" i="3"/>
  <c r="AN33" i="3"/>
  <c r="AO33" i="3"/>
  <c r="AP32" i="3"/>
  <c r="E33" i="4" s="1"/>
  <c r="AD33" i="3"/>
  <c r="AE26" i="3"/>
  <c r="AF26" i="3"/>
  <c r="AG26" i="3"/>
  <c r="AH26" i="3"/>
  <c r="AI26" i="3"/>
  <c r="AJ26" i="3"/>
  <c r="AJ30" i="3" s="1"/>
  <c r="AK26" i="3"/>
  <c r="AL26" i="3"/>
  <c r="AM26" i="3"/>
  <c r="AN26" i="3"/>
  <c r="AO26" i="3"/>
  <c r="AE27" i="3"/>
  <c r="AF27" i="3"/>
  <c r="AG27" i="3"/>
  <c r="AH27" i="3"/>
  <c r="AI27" i="3"/>
  <c r="AJ27" i="3"/>
  <c r="AK27" i="3"/>
  <c r="AL27" i="3"/>
  <c r="AM27" i="3"/>
  <c r="AN27" i="3"/>
  <c r="AO27" i="3"/>
  <c r="AE28" i="3"/>
  <c r="AF28" i="3"/>
  <c r="AG28" i="3"/>
  <c r="AH28" i="3"/>
  <c r="AI28" i="3"/>
  <c r="AJ28" i="3"/>
  <c r="AK28" i="3"/>
  <c r="AL28" i="3"/>
  <c r="AM28" i="3"/>
  <c r="AN28" i="3"/>
  <c r="AO28" i="3"/>
  <c r="AE29" i="3"/>
  <c r="AF29" i="3"/>
  <c r="AG29" i="3"/>
  <c r="AH29" i="3"/>
  <c r="AI29" i="3"/>
  <c r="AJ29" i="3"/>
  <c r="AK29" i="3"/>
  <c r="AL29" i="3"/>
  <c r="AM29" i="3"/>
  <c r="AN29" i="3"/>
  <c r="AO29" i="3"/>
  <c r="AD29" i="3"/>
  <c r="AP29" i="3" s="1"/>
  <c r="E28" i="4" s="1"/>
  <c r="AD28" i="3"/>
  <c r="AP28" i="3" s="1"/>
  <c r="E27" i="4" s="1"/>
  <c r="AD27" i="3"/>
  <c r="AP27" i="3" s="1"/>
  <c r="E26" i="4" s="1"/>
  <c r="AD26" i="3"/>
  <c r="AE24" i="3"/>
  <c r="AF24" i="3"/>
  <c r="AG24" i="3"/>
  <c r="AH24" i="3"/>
  <c r="AI24" i="3"/>
  <c r="AJ24" i="3"/>
  <c r="AK24" i="3"/>
  <c r="AL24" i="3"/>
  <c r="AM24" i="3"/>
  <c r="AN24" i="3"/>
  <c r="AO24" i="3"/>
  <c r="AD24" i="3"/>
  <c r="AE21" i="3"/>
  <c r="AF21" i="3"/>
  <c r="AG21" i="3"/>
  <c r="AH21" i="3"/>
  <c r="AI21" i="3"/>
  <c r="AJ21" i="3"/>
  <c r="AK21" i="3"/>
  <c r="AL21" i="3"/>
  <c r="AM21" i="3"/>
  <c r="AN21" i="3"/>
  <c r="AO21" i="3"/>
  <c r="AE20" i="3"/>
  <c r="AF20" i="3"/>
  <c r="AG20" i="3"/>
  <c r="AH20" i="3"/>
  <c r="AI20" i="3"/>
  <c r="AJ20" i="3"/>
  <c r="AK20" i="3"/>
  <c r="AL20" i="3"/>
  <c r="AM20" i="3"/>
  <c r="AN20" i="3"/>
  <c r="AO20" i="3"/>
  <c r="AD20" i="3"/>
  <c r="AE13" i="3"/>
  <c r="AF13" i="3"/>
  <c r="AG13" i="3"/>
  <c r="AH13" i="3"/>
  <c r="AI13" i="3"/>
  <c r="AJ13" i="3"/>
  <c r="AK13" i="3"/>
  <c r="AL13" i="3"/>
  <c r="AM13" i="3"/>
  <c r="AN13" i="3"/>
  <c r="AO13" i="3"/>
  <c r="AD13" i="3"/>
  <c r="AE12" i="3"/>
  <c r="AF12" i="3"/>
  <c r="AG12" i="3"/>
  <c r="AH12" i="3"/>
  <c r="AI12" i="3"/>
  <c r="AJ12" i="3"/>
  <c r="AK12" i="3"/>
  <c r="AL12" i="3"/>
  <c r="AM12" i="3"/>
  <c r="AN12" i="3"/>
  <c r="AO12" i="3"/>
  <c r="AD12" i="3"/>
  <c r="AE11" i="3"/>
  <c r="AF11" i="3"/>
  <c r="AG11" i="3"/>
  <c r="AH11" i="3"/>
  <c r="AI11" i="3"/>
  <c r="AJ11" i="3"/>
  <c r="AK11" i="3"/>
  <c r="AL11" i="3"/>
  <c r="AM11" i="3"/>
  <c r="AN11" i="3"/>
  <c r="AO11" i="3"/>
  <c r="AD11" i="3"/>
  <c r="R33" i="3"/>
  <c r="S33" i="3"/>
  <c r="T33" i="3"/>
  <c r="U33" i="3"/>
  <c r="V33" i="3"/>
  <c r="W33" i="3"/>
  <c r="X33" i="3"/>
  <c r="Y33" i="3"/>
  <c r="Z33" i="3"/>
  <c r="AA33" i="3"/>
  <c r="AB33" i="3"/>
  <c r="Q33" i="3"/>
  <c r="R29" i="3"/>
  <c r="S29" i="3"/>
  <c r="T29" i="3"/>
  <c r="U29" i="3"/>
  <c r="V29" i="3"/>
  <c r="W29" i="3"/>
  <c r="X29" i="3"/>
  <c r="Y29" i="3"/>
  <c r="Z29" i="3"/>
  <c r="AA29" i="3"/>
  <c r="AB29" i="3"/>
  <c r="Q29" i="3"/>
  <c r="AC29" i="3" s="1"/>
  <c r="D28" i="4" s="1"/>
  <c r="R28" i="3"/>
  <c r="S28" i="3"/>
  <c r="T28" i="3"/>
  <c r="U28" i="3"/>
  <c r="V28" i="3"/>
  <c r="W28" i="3"/>
  <c r="X28" i="3"/>
  <c r="Y28" i="3"/>
  <c r="Z28" i="3"/>
  <c r="AA28" i="3"/>
  <c r="AB28" i="3"/>
  <c r="Q28" i="3"/>
  <c r="AC28" i="3" s="1"/>
  <c r="D27" i="4" s="1"/>
  <c r="R27" i="3"/>
  <c r="S27" i="3"/>
  <c r="T27" i="3"/>
  <c r="U27" i="3"/>
  <c r="V27" i="3"/>
  <c r="W27" i="3"/>
  <c r="X27" i="3"/>
  <c r="Y27" i="3"/>
  <c r="Z27" i="3"/>
  <c r="AA27" i="3"/>
  <c r="AB27" i="3"/>
  <c r="Q27" i="3"/>
  <c r="R26" i="3"/>
  <c r="S26" i="3"/>
  <c r="T26" i="3"/>
  <c r="U26" i="3"/>
  <c r="V26" i="3"/>
  <c r="W26" i="3"/>
  <c r="X26" i="3"/>
  <c r="X30" i="3" s="1"/>
  <c r="Y26" i="3"/>
  <c r="Y30" i="3" s="1"/>
  <c r="Z26" i="3"/>
  <c r="AA26" i="3"/>
  <c r="AB26" i="3"/>
  <c r="Q26" i="3"/>
  <c r="R24" i="3"/>
  <c r="S24" i="3"/>
  <c r="T24" i="3"/>
  <c r="U24" i="3"/>
  <c r="V24" i="3"/>
  <c r="W24" i="3"/>
  <c r="X24" i="3"/>
  <c r="Y24" i="3"/>
  <c r="Z24" i="3"/>
  <c r="AA24" i="3"/>
  <c r="AB24" i="3"/>
  <c r="Q24" i="3"/>
  <c r="R21" i="3"/>
  <c r="S21" i="3"/>
  <c r="T21" i="3"/>
  <c r="U21" i="3"/>
  <c r="V21" i="3"/>
  <c r="W21" i="3"/>
  <c r="X21" i="3"/>
  <c r="Y21" i="3"/>
  <c r="Z21" i="3"/>
  <c r="AA21" i="3"/>
  <c r="AB21" i="3"/>
  <c r="Q21" i="3"/>
  <c r="R20" i="3"/>
  <c r="S20" i="3"/>
  <c r="T20" i="3"/>
  <c r="U20" i="3"/>
  <c r="V20" i="3"/>
  <c r="W20" i="3"/>
  <c r="X20" i="3"/>
  <c r="Y20" i="3"/>
  <c r="Z20" i="3"/>
  <c r="AA20" i="3"/>
  <c r="AB20" i="3"/>
  <c r="Q20" i="3"/>
  <c r="R13" i="3"/>
  <c r="S13" i="3"/>
  <c r="T13" i="3"/>
  <c r="U13" i="3"/>
  <c r="V13" i="3"/>
  <c r="W13" i="3"/>
  <c r="X13" i="3"/>
  <c r="Y13" i="3"/>
  <c r="Z13" i="3"/>
  <c r="AA13" i="3"/>
  <c r="AB13" i="3"/>
  <c r="Q13" i="3"/>
  <c r="R12" i="3"/>
  <c r="S12" i="3"/>
  <c r="T12" i="3"/>
  <c r="U12" i="3"/>
  <c r="V12" i="3"/>
  <c r="W12" i="3"/>
  <c r="X12" i="3"/>
  <c r="Y12" i="3"/>
  <c r="Z12" i="3"/>
  <c r="AA12" i="3"/>
  <c r="AB12" i="3"/>
  <c r="Q12" i="3"/>
  <c r="R11" i="3"/>
  <c r="S11" i="3"/>
  <c r="T11" i="3"/>
  <c r="U11" i="3"/>
  <c r="V11" i="3"/>
  <c r="W11" i="3"/>
  <c r="X11" i="3"/>
  <c r="Y11" i="3"/>
  <c r="Z11" i="3"/>
  <c r="AA11" i="3"/>
  <c r="AB11" i="3"/>
  <c r="O13" i="3"/>
  <c r="N13" i="3"/>
  <c r="M13" i="3"/>
  <c r="L13" i="3"/>
  <c r="K13" i="3"/>
  <c r="J13" i="3"/>
  <c r="I13" i="3"/>
  <c r="H13" i="3"/>
  <c r="G13" i="3"/>
  <c r="F13" i="3"/>
  <c r="E13" i="3"/>
  <c r="H198" i="6"/>
  <c r="H200" i="6"/>
  <c r="H202" i="6"/>
  <c r="H204" i="6"/>
  <c r="H206" i="6"/>
  <c r="H208" i="6"/>
  <c r="H210" i="6"/>
  <c r="H212" i="6"/>
  <c r="H214" i="6"/>
  <c r="H216" i="6"/>
  <c r="H218" i="6"/>
  <c r="H220" i="6"/>
  <c r="H222" i="6"/>
  <c r="H224" i="6"/>
  <c r="H226" i="6"/>
  <c r="H228" i="6"/>
  <c r="H230" i="6"/>
  <c r="H232" i="6"/>
  <c r="H234" i="6"/>
  <c r="H236" i="6"/>
  <c r="H238" i="6"/>
  <c r="H240" i="6"/>
  <c r="H242" i="6"/>
  <c r="H244" i="6"/>
  <c r="F198" i="6"/>
  <c r="F200" i="6"/>
  <c r="F202" i="6"/>
  <c r="F204" i="6"/>
  <c r="F206" i="6"/>
  <c r="F208" i="6"/>
  <c r="F210" i="6"/>
  <c r="F212" i="6"/>
  <c r="F214" i="6"/>
  <c r="F216" i="6"/>
  <c r="F218" i="6"/>
  <c r="F220" i="6"/>
  <c r="F222" i="6"/>
  <c r="F224" i="6"/>
  <c r="F226" i="6"/>
  <c r="F228" i="6"/>
  <c r="F230" i="6"/>
  <c r="F232" i="6"/>
  <c r="F234" i="6"/>
  <c r="F236" i="6"/>
  <c r="F238" i="6"/>
  <c r="F240" i="6"/>
  <c r="F242" i="6"/>
  <c r="F244" i="6"/>
  <c r="D200" i="6"/>
  <c r="D202" i="6"/>
  <c r="D204" i="6"/>
  <c r="D206" i="6"/>
  <c r="D208" i="6"/>
  <c r="D210" i="6"/>
  <c r="D212" i="6"/>
  <c r="D214" i="6"/>
  <c r="D216" i="6"/>
  <c r="D218" i="6"/>
  <c r="D220" i="6"/>
  <c r="D222" i="6"/>
  <c r="D224" i="6"/>
  <c r="D226" i="6"/>
  <c r="D228" i="6"/>
  <c r="D230" i="6"/>
  <c r="D232" i="6"/>
  <c r="D234" i="6"/>
  <c r="D236" i="6"/>
  <c r="D238" i="6"/>
  <c r="D240" i="6"/>
  <c r="D242" i="6"/>
  <c r="D244" i="6"/>
  <c r="D198" i="6"/>
  <c r="H196" i="6"/>
  <c r="H194" i="6"/>
  <c r="H192" i="6"/>
  <c r="H190" i="6"/>
  <c r="H188" i="6"/>
  <c r="H186" i="6"/>
  <c r="H184" i="6"/>
  <c r="H182" i="6"/>
  <c r="H180" i="6"/>
  <c r="H178" i="6"/>
  <c r="H176" i="6"/>
  <c r="H174" i="6"/>
  <c r="F196" i="6"/>
  <c r="F194" i="6"/>
  <c r="F192" i="6"/>
  <c r="F190" i="6"/>
  <c r="F188" i="6"/>
  <c r="F186" i="6"/>
  <c r="F184" i="6"/>
  <c r="F182" i="6"/>
  <c r="F180" i="6"/>
  <c r="F178" i="6"/>
  <c r="F176" i="6"/>
  <c r="F174" i="6"/>
  <c r="O21" i="3"/>
  <c r="N21" i="3"/>
  <c r="M21" i="3"/>
  <c r="L21" i="3"/>
  <c r="K21" i="3"/>
  <c r="J21" i="3"/>
  <c r="I21" i="3"/>
  <c r="H21" i="3"/>
  <c r="G21" i="3"/>
  <c r="F21" i="3"/>
  <c r="E21" i="3"/>
  <c r="D21" i="3"/>
  <c r="AG30" i="3" l="1"/>
  <c r="AM30" i="3"/>
  <c r="AE30" i="3"/>
  <c r="AI30" i="3"/>
  <c r="AL30" i="3"/>
  <c r="AC27" i="3"/>
  <c r="D26" i="4" s="1"/>
  <c r="AH30" i="3"/>
  <c r="AJ31" i="3" s="1"/>
  <c r="AO30" i="3"/>
  <c r="AA30" i="3"/>
  <c r="S30" i="3"/>
  <c r="D19" i="4"/>
  <c r="E20" i="4"/>
  <c r="E19" i="4"/>
  <c r="D10" i="4"/>
  <c r="D11" i="4" s="1"/>
  <c r="D12" i="4" s="1"/>
  <c r="AP24" i="3"/>
  <c r="E24" i="4" s="1"/>
  <c r="AD30" i="3"/>
  <c r="AK30" i="3"/>
  <c r="AN30" i="3"/>
  <c r="AF30" i="3"/>
  <c r="AP33" i="3"/>
  <c r="E21" i="24"/>
  <c r="AP26" i="3"/>
  <c r="E25" i="4" s="1"/>
  <c r="E21" i="25"/>
  <c r="E26" i="24"/>
  <c r="E6" i="4"/>
  <c r="E7" i="4" s="1"/>
  <c r="D6" i="4"/>
  <c r="D7" i="4" s="1"/>
  <c r="AP11" i="3"/>
  <c r="AP12" i="3"/>
  <c r="AP13" i="3"/>
  <c r="AN23" i="3"/>
  <c r="AF23" i="3"/>
  <c r="AK23" i="3"/>
  <c r="AM23" i="3"/>
  <c r="AI23" i="3"/>
  <c r="AH23" i="3"/>
  <c r="AO23" i="3"/>
  <c r="AG23" i="3"/>
  <c r="AL23" i="3"/>
  <c r="AJ23" i="3"/>
  <c r="AE23" i="3"/>
  <c r="AD23" i="3"/>
  <c r="AJ14" i="3"/>
  <c r="AJ16" i="3" s="1"/>
  <c r="AI14" i="3"/>
  <c r="AI16" i="3" s="1"/>
  <c r="AL14" i="3"/>
  <c r="AL16" i="3" s="1"/>
  <c r="AD14" i="3"/>
  <c r="AH14" i="3"/>
  <c r="AH16" i="3" s="1"/>
  <c r="AO14" i="3"/>
  <c r="AO16" i="3" s="1"/>
  <c r="AG14" i="3"/>
  <c r="AG16" i="3" s="1"/>
  <c r="AM14" i="3"/>
  <c r="AM16" i="3" s="1"/>
  <c r="AE14" i="3"/>
  <c r="AE16" i="3" s="1"/>
  <c r="AK14" i="3"/>
  <c r="AK16" i="3" s="1"/>
  <c r="AN14" i="3"/>
  <c r="AN16" i="3" s="1"/>
  <c r="AF14" i="3"/>
  <c r="AF16" i="3" s="1"/>
  <c r="AC32" i="3"/>
  <c r="D33" i="4" s="1"/>
  <c r="U30" i="3"/>
  <c r="W30" i="3"/>
  <c r="V30" i="3"/>
  <c r="AB30" i="3"/>
  <c r="T30" i="3"/>
  <c r="Z30" i="3"/>
  <c r="R30" i="3"/>
  <c r="AC26" i="3"/>
  <c r="D25" i="4" s="1"/>
  <c r="Z31" i="3"/>
  <c r="Q30" i="3"/>
  <c r="AC24" i="3"/>
  <c r="D24" i="4" s="1"/>
  <c r="AC33" i="3"/>
  <c r="AC12" i="3"/>
  <c r="AC13" i="3"/>
  <c r="AC11" i="3"/>
  <c r="Z23" i="3"/>
  <c r="R23" i="3"/>
  <c r="AA23" i="3"/>
  <c r="S23" i="3"/>
  <c r="Y23" i="3"/>
  <c r="U23" i="3"/>
  <c r="W23" i="3"/>
  <c r="V23" i="3"/>
  <c r="AB23" i="3"/>
  <c r="T23" i="3"/>
  <c r="X23" i="3"/>
  <c r="Q23" i="3"/>
  <c r="W14" i="3"/>
  <c r="W16" i="3" s="1"/>
  <c r="X14" i="3"/>
  <c r="X16" i="3" s="1"/>
  <c r="Q14" i="3"/>
  <c r="AB14" i="3"/>
  <c r="AB16" i="3" s="1"/>
  <c r="T14" i="3"/>
  <c r="T16" i="3" s="1"/>
  <c r="Y14" i="3"/>
  <c r="Y16" i="3" s="1"/>
  <c r="U14" i="3"/>
  <c r="U16" i="3" s="1"/>
  <c r="Z14" i="3"/>
  <c r="Z16" i="3" s="1"/>
  <c r="R14" i="3"/>
  <c r="R16" i="3" s="1"/>
  <c r="V14" i="3"/>
  <c r="V16" i="3" s="1"/>
  <c r="AA14" i="3"/>
  <c r="AA16" i="3" s="1"/>
  <c r="S14" i="3"/>
  <c r="S16" i="3" s="1"/>
  <c r="AG31" i="3" l="1"/>
  <c r="AD31" i="3"/>
  <c r="AM31" i="3"/>
  <c r="E21" i="4"/>
  <c r="D20" i="4"/>
  <c r="D21" i="4" s="1"/>
  <c r="W31" i="3"/>
  <c r="AP30" i="3"/>
  <c r="AC30" i="3"/>
  <c r="AD16" i="3"/>
  <c r="AP14" i="3"/>
  <c r="T31" i="3"/>
  <c r="Q16" i="3"/>
  <c r="AC14" i="3"/>
  <c r="C14" i="4"/>
  <c r="C15" i="4" s="1"/>
  <c r="AP31" i="3" l="1"/>
  <c r="A318" i="22"/>
  <c r="B14" i="4" s="1"/>
  <c r="C22" i="3"/>
  <c r="D13" i="3"/>
  <c r="O12" i="3"/>
  <c r="N12" i="3"/>
  <c r="M12" i="3"/>
  <c r="L12" i="3"/>
  <c r="K12" i="3"/>
  <c r="J12" i="3"/>
  <c r="I12" i="3"/>
  <c r="H12" i="3"/>
  <c r="G12" i="3"/>
  <c r="F12" i="3"/>
  <c r="E12" i="3"/>
  <c r="D12" i="3"/>
  <c r="P13" i="3" l="1"/>
  <c r="C16" i="4"/>
  <c r="C17" i="4" s="1"/>
  <c r="P22" i="3"/>
  <c r="AC22" i="3" s="1"/>
  <c r="AP22" i="3" s="1"/>
  <c r="A282" i="22" l="1"/>
  <c r="B22" i="3" s="1"/>
  <c r="A274" i="22"/>
  <c r="B13" i="3" s="1"/>
  <c r="D12" i="2"/>
  <c r="C12" i="2"/>
  <c r="H113" i="6"/>
  <c r="A92" i="22"/>
  <c r="B103" i="6" s="1"/>
  <c r="A146" i="22" l="1"/>
  <c r="B279" i="6" s="1"/>
  <c r="B198" i="6" s="1"/>
  <c r="A147" i="22"/>
  <c r="B281" i="6" s="1"/>
  <c r="B200" i="6" s="1"/>
  <c r="A148" i="22"/>
  <c r="B283" i="6" s="1"/>
  <c r="B202" i="6" s="1"/>
  <c r="A149" i="22"/>
  <c r="B285" i="6" s="1"/>
  <c r="B204" i="6" s="1"/>
  <c r="A150" i="22"/>
  <c r="B287" i="6" s="1"/>
  <c r="B206" i="6" s="1"/>
  <c r="A151" i="22"/>
  <c r="B289" i="6" s="1"/>
  <c r="B208" i="6" s="1"/>
  <c r="A152" i="22"/>
  <c r="B291" i="6" s="1"/>
  <c r="B210" i="6" s="1"/>
  <c r="A153" i="22"/>
  <c r="B293" i="6" s="1"/>
  <c r="B212" i="6" s="1"/>
  <c r="A154" i="22"/>
  <c r="B295" i="6" s="1"/>
  <c r="B214" i="6" s="1"/>
  <c r="A155" i="22"/>
  <c r="B297" i="6" s="1"/>
  <c r="B216" i="6" s="1"/>
  <c r="A156" i="22"/>
  <c r="B299" i="6" s="1"/>
  <c r="B218" i="6" s="1"/>
  <c r="A157" i="22"/>
  <c r="B301" i="6" s="1"/>
  <c r="B220" i="6" s="1"/>
  <c r="A158" i="22"/>
  <c r="B303" i="6" s="1"/>
  <c r="B222" i="6" s="1"/>
  <c r="A159" i="22"/>
  <c r="B305" i="6" s="1"/>
  <c r="B224" i="6" s="1"/>
  <c r="A160" i="22"/>
  <c r="B307" i="6" s="1"/>
  <c r="B226" i="6" s="1"/>
  <c r="A161" i="22"/>
  <c r="B309" i="6" s="1"/>
  <c r="B228" i="6" s="1"/>
  <c r="A162" i="22"/>
  <c r="B311" i="6" s="1"/>
  <c r="B230" i="6" s="1"/>
  <c r="A163" i="22"/>
  <c r="B313" i="6" s="1"/>
  <c r="B232" i="6" s="1"/>
  <c r="A164" i="22"/>
  <c r="B315" i="6" s="1"/>
  <c r="B234" i="6" s="1"/>
  <c r="A165" i="22"/>
  <c r="B317" i="6" s="1"/>
  <c r="B236" i="6" s="1"/>
  <c r="A166" i="22"/>
  <c r="B319" i="6" s="1"/>
  <c r="B238" i="6" s="1"/>
  <c r="A167" i="22"/>
  <c r="B321" i="6" s="1"/>
  <c r="B240" i="6" s="1"/>
  <c r="A168" i="22"/>
  <c r="B323" i="6" s="1"/>
  <c r="B242" i="6" s="1"/>
  <c r="A169" i="22"/>
  <c r="B325" i="6" s="1"/>
  <c r="B244" i="6" s="1"/>
  <c r="A296" i="22" l="1"/>
  <c r="A298" i="22"/>
  <c r="A258" i="22" l="1"/>
  <c r="E33" i="3"/>
  <c r="F33" i="3"/>
  <c r="G33" i="3"/>
  <c r="H33" i="3"/>
  <c r="I33" i="3"/>
  <c r="J33" i="3"/>
  <c r="K33" i="3"/>
  <c r="L33" i="3"/>
  <c r="M33" i="3"/>
  <c r="N33" i="3"/>
  <c r="O33" i="3"/>
  <c r="D33" i="3"/>
  <c r="O26" i="3"/>
  <c r="N26" i="3"/>
  <c r="M26" i="3"/>
  <c r="L26" i="3"/>
  <c r="K26" i="3"/>
  <c r="J26" i="3"/>
  <c r="I26" i="3"/>
  <c r="H26" i="3"/>
  <c r="G26" i="3"/>
  <c r="F26" i="3"/>
  <c r="E26" i="3"/>
  <c r="D26" i="3"/>
  <c r="O24" i="3"/>
  <c r="N24" i="3"/>
  <c r="M24" i="3"/>
  <c r="L24" i="3"/>
  <c r="K24" i="3"/>
  <c r="J24" i="3"/>
  <c r="I24" i="3"/>
  <c r="H24" i="3"/>
  <c r="G24" i="3"/>
  <c r="F24" i="3"/>
  <c r="E24" i="3"/>
  <c r="D24" i="3"/>
  <c r="D34" i="6" l="1"/>
  <c r="H34" i="6"/>
  <c r="AI39" i="3" l="1"/>
  <c r="W39" i="3"/>
  <c r="AE39" i="3"/>
  <c r="AG39" i="3"/>
  <c r="AL39" i="3"/>
  <c r="AO39" i="3"/>
  <c r="Y39" i="3"/>
  <c r="AF39" i="3"/>
  <c r="AM39" i="3"/>
  <c r="T39" i="3"/>
  <c r="AB39" i="3"/>
  <c r="R39" i="3"/>
  <c r="S39" i="3"/>
  <c r="V39" i="3"/>
  <c r="AJ39" i="3"/>
  <c r="AD39" i="3"/>
  <c r="Z39" i="3"/>
  <c r="AK39" i="3"/>
  <c r="X39" i="3"/>
  <c r="AH39" i="3"/>
  <c r="AN39" i="3"/>
  <c r="U39" i="3"/>
  <c r="AA39" i="3"/>
  <c r="AE42" i="3"/>
  <c r="AM42" i="3"/>
  <c r="AF42" i="3"/>
  <c r="AN42" i="3"/>
  <c r="AL42" i="3"/>
  <c r="AG42" i="3"/>
  <c r="AO42" i="3"/>
  <c r="AH42" i="3"/>
  <c r="AD42" i="3"/>
  <c r="AI42" i="3"/>
  <c r="AJ42" i="3"/>
  <c r="AK42" i="3"/>
  <c r="S42" i="3"/>
  <c r="AA42" i="3"/>
  <c r="T42" i="3"/>
  <c r="AB42" i="3"/>
  <c r="U42" i="3"/>
  <c r="V42" i="3"/>
  <c r="Z42" i="3"/>
  <c r="W42" i="3"/>
  <c r="X42" i="3"/>
  <c r="Y42" i="3"/>
  <c r="R42" i="3"/>
  <c r="AP39" i="3" l="1"/>
  <c r="E42" i="4" s="1"/>
  <c r="AP42" i="3"/>
  <c r="E47" i="4" s="1"/>
  <c r="A386" i="22"/>
  <c r="A17" i="20" s="1"/>
  <c r="A125" i="22" l="1"/>
  <c r="C164" i="6" s="1"/>
  <c r="E29" i="3"/>
  <c r="F29" i="3"/>
  <c r="G29" i="3"/>
  <c r="H29" i="3"/>
  <c r="I29" i="3"/>
  <c r="J29" i="3"/>
  <c r="K29" i="3"/>
  <c r="L29" i="3"/>
  <c r="M29" i="3"/>
  <c r="N29" i="3"/>
  <c r="O29" i="3"/>
  <c r="D29" i="3"/>
  <c r="A35" i="22"/>
  <c r="A170" i="22"/>
  <c r="B327" i="6" s="1"/>
  <c r="A15" i="22"/>
  <c r="A16" i="22"/>
  <c r="A17" i="22"/>
  <c r="A18" i="22"/>
  <c r="A33" i="22"/>
  <c r="F6" i="6" s="1"/>
  <c r="H11" i="6"/>
  <c r="F15" i="6" l="1"/>
  <c r="F17" i="6"/>
  <c r="F29" i="6"/>
  <c r="F27" i="6"/>
  <c r="F19" i="6"/>
  <c r="F23" i="6"/>
  <c r="K64" i="19"/>
  <c r="L64" i="19"/>
  <c r="J64" i="19"/>
  <c r="K63" i="19"/>
  <c r="J63" i="19"/>
  <c r="L62" i="19"/>
  <c r="J62" i="19"/>
  <c r="J61" i="19"/>
  <c r="K59" i="19"/>
  <c r="L59" i="19"/>
  <c r="J59" i="19"/>
  <c r="K58" i="19"/>
  <c r="L58" i="19"/>
  <c r="J58" i="19"/>
  <c r="K57" i="19"/>
  <c r="J57" i="19"/>
  <c r="L56" i="19"/>
  <c r="J56" i="19"/>
  <c r="J55" i="19"/>
  <c r="F4" i="18" l="1"/>
  <c r="A385" i="22"/>
  <c r="A16" i="20" s="1"/>
  <c r="A384" i="22"/>
  <c r="A13" i="20" s="1"/>
  <c r="A383" i="22"/>
  <c r="A10" i="20" s="1"/>
  <c r="A382" i="22"/>
  <c r="A7" i="20" s="1"/>
  <c r="A381" i="22"/>
  <c r="A4" i="20" s="1"/>
  <c r="A380" i="22"/>
  <c r="A15" i="20" s="1"/>
  <c r="A379" i="22"/>
  <c r="A12" i="20" s="1"/>
  <c r="A378" i="22"/>
  <c r="E34" i="19"/>
  <c r="D34" i="19"/>
  <c r="E24" i="19"/>
  <c r="E25" i="19"/>
  <c r="E20" i="19"/>
  <c r="D19" i="19"/>
  <c r="E19" i="19"/>
  <c r="D6" i="2" l="1"/>
  <c r="L9" i="19"/>
  <c r="C21" i="3"/>
  <c r="O20" i="3"/>
  <c r="O23" i="3" s="1"/>
  <c r="N20" i="3"/>
  <c r="N23" i="3" s="1"/>
  <c r="M20" i="3"/>
  <c r="M23" i="3" s="1"/>
  <c r="L20" i="3"/>
  <c r="L23" i="3" s="1"/>
  <c r="K20" i="3"/>
  <c r="K23" i="3" s="1"/>
  <c r="J20" i="3"/>
  <c r="J23" i="3" s="1"/>
  <c r="I20" i="3"/>
  <c r="I23" i="3" s="1"/>
  <c r="H20" i="3"/>
  <c r="H23" i="3" s="1"/>
  <c r="G20" i="3"/>
  <c r="G23" i="3" s="1"/>
  <c r="F20" i="3"/>
  <c r="F23" i="3" s="1"/>
  <c r="E20" i="3" l="1"/>
  <c r="E23" i="3" s="1"/>
  <c r="D20" i="3"/>
  <c r="D23" i="3" s="1"/>
  <c r="C20" i="3"/>
  <c r="G11" i="3"/>
  <c r="G14" i="3" s="1"/>
  <c r="O11" i="3"/>
  <c r="O14" i="3" s="1"/>
  <c r="N11" i="3"/>
  <c r="N14" i="3" s="1"/>
  <c r="M11" i="3"/>
  <c r="M14" i="3" s="1"/>
  <c r="L11" i="3"/>
  <c r="L14" i="3" s="1"/>
  <c r="K11" i="3"/>
  <c r="K14" i="3" s="1"/>
  <c r="J11" i="3"/>
  <c r="J14" i="3" s="1"/>
  <c r="I11" i="3"/>
  <c r="I14" i="3" s="1"/>
  <c r="H11" i="3"/>
  <c r="H14" i="3" s="1"/>
  <c r="F11" i="3"/>
  <c r="F14" i="3" s="1"/>
  <c r="E11" i="3"/>
  <c r="E14" i="3" s="1"/>
  <c r="D11" i="3"/>
  <c r="D14" i="3" s="1"/>
  <c r="D8" i="2" l="1"/>
  <c r="C8" i="2"/>
  <c r="D7" i="2"/>
  <c r="C7" i="2"/>
  <c r="C6" i="2"/>
  <c r="D5" i="2"/>
  <c r="C5" i="2"/>
  <c r="D4" i="2"/>
  <c r="C4" i="2"/>
  <c r="H32" i="6" l="1"/>
  <c r="D32" i="6" l="1"/>
  <c r="E28" i="3" l="1"/>
  <c r="F28" i="3"/>
  <c r="G28" i="3"/>
  <c r="H28" i="3"/>
  <c r="I28" i="3"/>
  <c r="J28" i="3"/>
  <c r="K28" i="3"/>
  <c r="L28" i="3"/>
  <c r="M28" i="3"/>
  <c r="N28" i="3"/>
  <c r="O28" i="3"/>
  <c r="D28" i="3"/>
  <c r="E27" i="3"/>
  <c r="F27" i="3"/>
  <c r="G27" i="3"/>
  <c r="H27" i="3"/>
  <c r="I27" i="3"/>
  <c r="J27" i="3"/>
  <c r="K27" i="3"/>
  <c r="L27" i="3"/>
  <c r="M27" i="3"/>
  <c r="N27" i="3"/>
  <c r="O27" i="3"/>
  <c r="D27" i="3"/>
  <c r="A121" i="18"/>
  <c r="A120" i="18"/>
  <c r="A106" i="18"/>
  <c r="A107" i="18"/>
  <c r="A108" i="18"/>
  <c r="A109" i="18"/>
  <c r="A110" i="18"/>
  <c r="A111" i="18"/>
  <c r="A112" i="18"/>
  <c r="A113" i="18"/>
  <c r="A114" i="18"/>
  <c r="A115" i="18"/>
  <c r="A116" i="18"/>
  <c r="A117" i="18"/>
  <c r="A105" i="18"/>
  <c r="A94" i="18"/>
  <c r="A95" i="18"/>
  <c r="A96" i="18"/>
  <c r="A97" i="18"/>
  <c r="A98" i="18"/>
  <c r="A99" i="18"/>
  <c r="A100" i="18"/>
  <c r="A101" i="18"/>
  <c r="A102" i="18"/>
  <c r="A93" i="18"/>
  <c r="A86" i="18"/>
  <c r="A87" i="18"/>
  <c r="A88" i="18"/>
  <c r="A89" i="18"/>
  <c r="A90" i="18"/>
  <c r="A85" i="18"/>
  <c r="A80" i="18"/>
  <c r="A73" i="18"/>
  <c r="A74" i="18"/>
  <c r="A75" i="18"/>
  <c r="A76" i="18"/>
  <c r="A72" i="18"/>
  <c r="A33" i="18"/>
  <c r="A34" i="18"/>
  <c r="A35" i="18"/>
  <c r="A36" i="18"/>
  <c r="A37" i="18"/>
  <c r="A38" i="18"/>
  <c r="A39" i="18"/>
  <c r="A40" i="18"/>
  <c r="A32" i="18"/>
  <c r="A29" i="18"/>
  <c r="A28" i="18"/>
  <c r="A25" i="18"/>
  <c r="A24" i="18"/>
  <c r="A21" i="18"/>
  <c r="A20" i="18"/>
  <c r="A19" i="18"/>
  <c r="A18" i="18"/>
  <c r="A17" i="18"/>
  <c r="A16" i="18"/>
  <c r="A15" i="18"/>
  <c r="A14" i="18"/>
  <c r="A11" i="18"/>
  <c r="A10" i="18"/>
  <c r="A9" i="18"/>
  <c r="A5" i="18"/>
  <c r="A6" i="18"/>
  <c r="A4" i="18"/>
  <c r="A39" i="22"/>
  <c r="A40" i="22"/>
  <c r="A371" i="22"/>
  <c r="A341" i="22"/>
  <c r="A300" i="22"/>
  <c r="A297" i="22"/>
  <c r="A251" i="22"/>
  <c r="D35" i="26" l="1"/>
  <c r="D34" i="26"/>
  <c r="D36" i="26" s="1"/>
  <c r="G35" i="26"/>
  <c r="G34" i="26"/>
  <c r="G36" i="26" s="1"/>
  <c r="G30" i="26"/>
  <c r="D30" i="26"/>
  <c r="G29" i="26"/>
  <c r="G28" i="26"/>
  <c r="G31" i="26" s="1"/>
  <c r="G18" i="26"/>
  <c r="G21" i="26"/>
  <c r="H21" i="26" s="1"/>
  <c r="G20" i="26"/>
  <c r="H20" i="26" s="1"/>
  <c r="G19" i="26"/>
  <c r="H19" i="26" s="1"/>
  <c r="G14" i="26"/>
  <c r="H14" i="26" s="1"/>
  <c r="G13" i="26"/>
  <c r="H13" i="26" s="1"/>
  <c r="G12" i="26"/>
  <c r="H12" i="26" s="1"/>
  <c r="G11" i="26"/>
  <c r="H11" i="26" s="1"/>
  <c r="D20" i="26"/>
  <c r="E20" i="26" s="1"/>
  <c r="D18" i="26"/>
  <c r="D13" i="26"/>
  <c r="E13" i="26" s="1"/>
  <c r="G10" i="26"/>
  <c r="H10" i="26" s="1"/>
  <c r="G9" i="26"/>
  <c r="H9" i="26" s="1"/>
  <c r="G8" i="26"/>
  <c r="H8" i="26" s="1"/>
  <c r="G7" i="26"/>
  <c r="H7" i="26" s="1"/>
  <c r="G6" i="26"/>
  <c r="H6" i="26" s="1"/>
  <c r="G5" i="26"/>
  <c r="H5" i="26" s="1"/>
  <c r="G4" i="26"/>
  <c r="D29" i="26"/>
  <c r="D28" i="26"/>
  <c r="D31" i="26" s="1"/>
  <c r="D21" i="26"/>
  <c r="E21" i="26" s="1"/>
  <c r="D19" i="26"/>
  <c r="E19" i="26" s="1"/>
  <c r="D14" i="26"/>
  <c r="E14" i="26" s="1"/>
  <c r="D12" i="26"/>
  <c r="E12" i="26" s="1"/>
  <c r="D11" i="26"/>
  <c r="E11" i="26" s="1"/>
  <c r="D10" i="26"/>
  <c r="E10" i="26" s="1"/>
  <c r="D9" i="26"/>
  <c r="E9" i="26" s="1"/>
  <c r="D8" i="26"/>
  <c r="E8" i="26" s="1"/>
  <c r="D7" i="26"/>
  <c r="E7" i="26" s="1"/>
  <c r="D6" i="26"/>
  <c r="E6" i="26" s="1"/>
  <c r="D5" i="26"/>
  <c r="E5" i="26" s="1"/>
  <c r="D4" i="26"/>
  <c r="T23" i="24"/>
  <c r="M23" i="25"/>
  <c r="T23" i="25"/>
  <c r="M23" i="24"/>
  <c r="T22" i="25"/>
  <c r="T22" i="24"/>
  <c r="M22" i="25"/>
  <c r="M22" i="24"/>
  <c r="B36" i="3"/>
  <c r="AJ25" i="3"/>
  <c r="U25" i="3"/>
  <c r="Q25" i="3"/>
  <c r="W25" i="3"/>
  <c r="AM25" i="3"/>
  <c r="X25" i="3"/>
  <c r="AK25" i="3"/>
  <c r="V25" i="3"/>
  <c r="AE25" i="3"/>
  <c r="T25" i="3"/>
  <c r="AB25" i="3"/>
  <c r="AL25" i="3"/>
  <c r="AF25" i="3"/>
  <c r="AN25" i="3"/>
  <c r="Y25" i="3"/>
  <c r="AH25" i="3"/>
  <c r="AD25" i="3"/>
  <c r="AG25" i="3"/>
  <c r="AO25" i="3"/>
  <c r="R25" i="3"/>
  <c r="Z25" i="3"/>
  <c r="S25" i="3"/>
  <c r="AA25" i="3"/>
  <c r="AI25" i="3"/>
  <c r="J8" i="4"/>
  <c r="T21" i="24"/>
  <c r="M21" i="24"/>
  <c r="T21" i="25"/>
  <c r="M21" i="25"/>
  <c r="M20" i="24"/>
  <c r="T20" i="25"/>
  <c r="M20" i="25"/>
  <c r="T20" i="24"/>
  <c r="T19" i="25"/>
  <c r="M19" i="25"/>
  <c r="T19" i="24"/>
  <c r="M19" i="24"/>
  <c r="A43" i="22"/>
  <c r="A6" i="22"/>
  <c r="A7" i="22"/>
  <c r="A9" i="22"/>
  <c r="A10" i="22"/>
  <c r="A11" i="22"/>
  <c r="A12" i="22"/>
  <c r="A13" i="22"/>
  <c r="A14" i="22"/>
  <c r="A19" i="22"/>
  <c r="A20" i="22"/>
  <c r="A21" i="22"/>
  <c r="A22" i="22"/>
  <c r="A23" i="22"/>
  <c r="A24" i="22"/>
  <c r="A26" i="22"/>
  <c r="A27" i="22"/>
  <c r="B1" i="6" s="1"/>
  <c r="A28" i="22"/>
  <c r="A29" i="22"/>
  <c r="A31" i="22"/>
  <c r="A32" i="22"/>
  <c r="A44" i="22"/>
  <c r="B11" i="6" s="1"/>
  <c r="A45" i="22"/>
  <c r="A46" i="22"/>
  <c r="A47" i="22"/>
  <c r="B17" i="6" s="1"/>
  <c r="A48" i="22"/>
  <c r="A49" i="22"/>
  <c r="B21" i="6" s="1"/>
  <c r="A50" i="22"/>
  <c r="A51" i="22"/>
  <c r="A54" i="22"/>
  <c r="A55" i="22"/>
  <c r="A56" i="22"/>
  <c r="A57" i="22"/>
  <c r="A58" i="22"/>
  <c r="A59" i="22"/>
  <c r="A60" i="22"/>
  <c r="A61" i="22"/>
  <c r="A62" i="22"/>
  <c r="A63" i="22"/>
  <c r="A64" i="22"/>
  <c r="A65" i="22"/>
  <c r="A66" i="22"/>
  <c r="A67" i="22"/>
  <c r="A68" i="22"/>
  <c r="A69" i="22"/>
  <c r="A70" i="22"/>
  <c r="A71" i="22"/>
  <c r="A74" i="22"/>
  <c r="A75" i="22"/>
  <c r="A76" i="22"/>
  <c r="B74" i="6" s="1"/>
  <c r="A77" i="22"/>
  <c r="B76" i="6" s="1"/>
  <c r="A78" i="22"/>
  <c r="A79" i="22"/>
  <c r="A80" i="22"/>
  <c r="A81" i="22"/>
  <c r="A82" i="22"/>
  <c r="A83" i="22"/>
  <c r="A84" i="22"/>
  <c r="A85" i="22"/>
  <c r="A86" i="22"/>
  <c r="A87" i="22"/>
  <c r="A88" i="22"/>
  <c r="A89" i="22"/>
  <c r="A90" i="22"/>
  <c r="A91" i="22"/>
  <c r="A93" i="22"/>
  <c r="A94" i="22"/>
  <c r="A95" i="22"/>
  <c r="A96" i="22"/>
  <c r="A97" i="22"/>
  <c r="A98" i="22"/>
  <c r="A99" i="22"/>
  <c r="A100" i="22"/>
  <c r="A101" i="22"/>
  <c r="A105" i="22"/>
  <c r="A109" i="22"/>
  <c r="A110" i="22"/>
  <c r="A111" i="22"/>
  <c r="A113" i="22"/>
  <c r="A115" i="22"/>
  <c r="A116" i="22"/>
  <c r="A117" i="22"/>
  <c r="A118" i="22"/>
  <c r="A119" i="22"/>
  <c r="A120" i="22"/>
  <c r="A121" i="22"/>
  <c r="A122" i="22"/>
  <c r="A123" i="22"/>
  <c r="A124" i="22"/>
  <c r="A129" i="22"/>
  <c r="A130" i="22"/>
  <c r="A131" i="22"/>
  <c r="A132" i="22"/>
  <c r="A133" i="22"/>
  <c r="A134" i="22"/>
  <c r="A135" i="22"/>
  <c r="A136" i="22"/>
  <c r="A137" i="22"/>
  <c r="A138" i="22"/>
  <c r="A139" i="22"/>
  <c r="A140" i="22"/>
  <c r="A141" i="22"/>
  <c r="A142" i="22"/>
  <c r="A143" i="22"/>
  <c r="A144" i="22"/>
  <c r="A145" i="22"/>
  <c r="A171" i="22"/>
  <c r="A172" i="22"/>
  <c r="A3" i="20" s="1"/>
  <c r="A173" i="22"/>
  <c r="A6" i="20" s="1"/>
  <c r="A174" i="22"/>
  <c r="A9" i="20" s="1"/>
  <c r="A175" i="22"/>
  <c r="A176" i="22"/>
  <c r="A177" i="22"/>
  <c r="A178" i="22"/>
  <c r="A179" i="22"/>
  <c r="A215" i="22"/>
  <c r="A216" i="22"/>
  <c r="A217" i="22"/>
  <c r="A218" i="22"/>
  <c r="A219" i="22"/>
  <c r="A220" i="22"/>
  <c r="A221" i="22"/>
  <c r="A222" i="22"/>
  <c r="A223" i="22"/>
  <c r="A224" i="22"/>
  <c r="A225" i="22"/>
  <c r="A226" i="22"/>
  <c r="A227" i="22"/>
  <c r="A228" i="22"/>
  <c r="A229" i="22"/>
  <c r="A230" i="22"/>
  <c r="A231" i="22"/>
  <c r="A232" i="22"/>
  <c r="A233" i="22"/>
  <c r="A234" i="22"/>
  <c r="A235" i="22"/>
  <c r="A236" i="22"/>
  <c r="A237" i="22"/>
  <c r="A238" i="22"/>
  <c r="A239" i="22"/>
  <c r="A240" i="22"/>
  <c r="A241" i="22"/>
  <c r="A242" i="22"/>
  <c r="A243" i="22"/>
  <c r="A244" i="22"/>
  <c r="A245" i="22"/>
  <c r="A246" i="22"/>
  <c r="A247" i="22"/>
  <c r="A248" i="22"/>
  <c r="A249" i="22"/>
  <c r="A252" i="22"/>
  <c r="A253" i="22"/>
  <c r="A254" i="22"/>
  <c r="A255" i="22"/>
  <c r="A256" i="22"/>
  <c r="A257" i="22"/>
  <c r="F25" i="2" s="1"/>
  <c r="A259" i="22"/>
  <c r="A260" i="22"/>
  <c r="A261" i="22"/>
  <c r="A262" i="22"/>
  <c r="A264" i="22"/>
  <c r="A265" i="22"/>
  <c r="A266" i="22"/>
  <c r="A267" i="22"/>
  <c r="A268" i="22"/>
  <c r="A269" i="22"/>
  <c r="A270" i="22"/>
  <c r="A271" i="22"/>
  <c r="A272" i="22"/>
  <c r="A273" i="22"/>
  <c r="A275" i="22"/>
  <c r="A276" i="22"/>
  <c r="A277" i="22"/>
  <c r="A278" i="22"/>
  <c r="A279" i="22"/>
  <c r="A280" i="22"/>
  <c r="A281" i="22"/>
  <c r="A283" i="22"/>
  <c r="A284" i="22"/>
  <c r="A285" i="22"/>
  <c r="A286" i="22"/>
  <c r="A287" i="22"/>
  <c r="A288" i="22"/>
  <c r="A289" i="22"/>
  <c r="A290" i="22"/>
  <c r="A291" i="22"/>
  <c r="A292" i="22"/>
  <c r="A293" i="22"/>
  <c r="A294" i="22"/>
  <c r="A301" i="22"/>
  <c r="A302" i="22"/>
  <c r="A303" i="22"/>
  <c r="A304" i="22"/>
  <c r="G1" i="2" s="1"/>
  <c r="A305" i="22"/>
  <c r="A307" i="22"/>
  <c r="A308" i="22"/>
  <c r="A309" i="22"/>
  <c r="A313" i="22"/>
  <c r="A314" i="22"/>
  <c r="A315" i="22"/>
  <c r="A316" i="22"/>
  <c r="A317" i="22"/>
  <c r="A319" i="22"/>
  <c r="A320" i="22"/>
  <c r="A321" i="22"/>
  <c r="A322" i="22"/>
  <c r="A323" i="22"/>
  <c r="A324" i="22"/>
  <c r="A325" i="22"/>
  <c r="A326" i="22"/>
  <c r="A327" i="22"/>
  <c r="A328" i="22"/>
  <c r="A329" i="22"/>
  <c r="A330" i="22"/>
  <c r="A331" i="22"/>
  <c r="A332" i="22"/>
  <c r="A333" i="22"/>
  <c r="A334" i="22"/>
  <c r="A335" i="22"/>
  <c r="A336" i="22"/>
  <c r="A337" i="22"/>
  <c r="A338" i="22"/>
  <c r="A339" i="22"/>
  <c r="A342" i="22"/>
  <c r="A343" i="22"/>
  <c r="A344" i="22"/>
  <c r="A345" i="22"/>
  <c r="A346" i="22"/>
  <c r="A347" i="22"/>
  <c r="A348" i="22"/>
  <c r="A349" i="22"/>
  <c r="A350" i="22"/>
  <c r="A352" i="22"/>
  <c r="A353" i="22"/>
  <c r="A354" i="22"/>
  <c r="A355" i="22"/>
  <c r="A356" i="22"/>
  <c r="A357" i="22"/>
  <c r="A358" i="22"/>
  <c r="A359" i="22"/>
  <c r="A360" i="22"/>
  <c r="A361" i="22"/>
  <c r="A362" i="22"/>
  <c r="A363" i="22"/>
  <c r="A364" i="22"/>
  <c r="A365" i="22"/>
  <c r="A366" i="22"/>
  <c r="A367" i="22"/>
  <c r="A368" i="22"/>
  <c r="A369" i="22"/>
  <c r="A372" i="22"/>
  <c r="A373" i="22"/>
  <c r="A374" i="22"/>
  <c r="A375" i="22"/>
  <c r="A376" i="22"/>
  <c r="A389" i="22"/>
  <c r="A390" i="22"/>
  <c r="A391" i="22"/>
  <c r="A392" i="22"/>
  <c r="A4" i="22"/>
  <c r="A5" i="22"/>
  <c r="A3" i="22"/>
  <c r="H18" i="26" l="1"/>
  <c r="H22" i="26" s="1"/>
  <c r="G22" i="26"/>
  <c r="E18" i="26"/>
  <c r="E22" i="26" s="1"/>
  <c r="D22" i="26"/>
  <c r="G15" i="26"/>
  <c r="G24" i="26" s="1"/>
  <c r="H4" i="26"/>
  <c r="H15" i="26" s="1"/>
  <c r="H24" i="26" s="1"/>
  <c r="E4" i="26"/>
  <c r="E15" i="26" s="1"/>
  <c r="E24" i="26" s="1"/>
  <c r="D15" i="26"/>
  <c r="D24" i="26" s="1"/>
  <c r="AC25" i="3"/>
  <c r="AP25" i="3"/>
  <c r="AC3" i="3"/>
  <c r="AP3" i="3"/>
  <c r="C103" i="6"/>
  <c r="C170" i="6"/>
  <c r="C168" i="6"/>
  <c r="C327" i="6"/>
  <c r="D1" i="4"/>
  <c r="E1" i="3"/>
  <c r="F21" i="6"/>
  <c r="C6" i="6"/>
  <c r="A1" i="20"/>
  <c r="C333" i="6"/>
  <c r="C331" i="6"/>
  <c r="C4" i="6"/>
  <c r="C329" i="6"/>
  <c r="F329" i="6"/>
  <c r="C251" i="6"/>
  <c r="C249" i="6"/>
  <c r="F333" i="6"/>
  <c r="C162" i="6"/>
  <c r="F331" i="6"/>
  <c r="F145" i="6"/>
  <c r="H117" i="6"/>
  <c r="H138" i="6"/>
  <c r="H86" i="6"/>
  <c r="D86" i="6"/>
  <c r="F141" i="6"/>
  <c r="C89" i="6"/>
  <c r="C87" i="6"/>
  <c r="F134" i="6"/>
  <c r="C101" i="6"/>
  <c r="C91" i="6"/>
  <c r="C99" i="6"/>
  <c r="C97" i="6"/>
  <c r="F72" i="6"/>
  <c r="F126" i="6"/>
  <c r="C95" i="6"/>
  <c r="C93" i="6"/>
  <c r="F25" i="6"/>
  <c r="Q32" i="19"/>
  <c r="J32" i="19" s="1"/>
  <c r="Q31" i="19"/>
  <c r="J31" i="19" s="1"/>
  <c r="Q30" i="19"/>
  <c r="J30" i="19" s="1"/>
  <c r="Q29" i="19"/>
  <c r="J29" i="19" s="1"/>
  <c r="B71" i="6"/>
  <c r="B66" i="6"/>
  <c r="B64" i="6"/>
  <c r="B45" i="4"/>
  <c r="A250" i="22"/>
  <c r="D27" i="2" s="1"/>
  <c r="B14" i="6"/>
  <c r="B15" i="6"/>
  <c r="B19" i="6"/>
  <c r="B23" i="6"/>
  <c r="B32" i="6"/>
  <c r="B34" i="6"/>
  <c r="B37" i="6"/>
  <c r="B38" i="6"/>
  <c r="B39" i="6"/>
  <c r="B41" i="6"/>
  <c r="B43" i="6"/>
  <c r="B45" i="6"/>
  <c r="B47" i="6"/>
  <c r="B49" i="6"/>
  <c r="B51" i="6"/>
  <c r="B53" i="6"/>
  <c r="B55" i="6"/>
  <c r="B57" i="6"/>
  <c r="B59" i="6"/>
  <c r="B61" i="6"/>
  <c r="B72" i="6"/>
  <c r="B78" i="6"/>
  <c r="B80" i="6"/>
  <c r="B82" i="6"/>
  <c r="B85" i="6"/>
  <c r="B86" i="6"/>
  <c r="B87" i="6"/>
  <c r="B89" i="6"/>
  <c r="B91" i="6"/>
  <c r="B93" i="6"/>
  <c r="B95" i="6"/>
  <c r="B97" i="6"/>
  <c r="B99" i="6"/>
  <c r="B101" i="6"/>
  <c r="B105" i="6"/>
  <c r="B107" i="6"/>
  <c r="B109" i="6"/>
  <c r="B111" i="6"/>
  <c r="B113" i="6"/>
  <c r="B115" i="6"/>
  <c r="B117" i="6"/>
  <c r="B118" i="6"/>
  <c r="B138" i="6"/>
  <c r="B149" i="6"/>
  <c r="B151" i="6"/>
  <c r="B153" i="6"/>
  <c r="B155" i="6"/>
  <c r="B157" i="6"/>
  <c r="B159" i="6"/>
  <c r="B161" i="6"/>
  <c r="B249" i="6"/>
  <c r="B251" i="6"/>
  <c r="B253" i="6"/>
  <c r="B254" i="6"/>
  <c r="B255" i="6"/>
  <c r="B257" i="6"/>
  <c r="B259" i="6"/>
  <c r="B261" i="6"/>
  <c r="B263" i="6"/>
  <c r="B265" i="6"/>
  <c r="B267" i="6"/>
  <c r="B269" i="6"/>
  <c r="B271" i="6"/>
  <c r="B273" i="6"/>
  <c r="B275" i="6"/>
  <c r="B277" i="6"/>
  <c r="B328" i="6"/>
  <c r="B329" i="6"/>
  <c r="B331" i="6"/>
  <c r="B333" i="6"/>
  <c r="B1" i="2"/>
  <c r="B3" i="2"/>
  <c r="B4" i="2"/>
  <c r="B5" i="2"/>
  <c r="B6" i="2"/>
  <c r="B7" i="2"/>
  <c r="B8" i="2"/>
  <c r="B9" i="2"/>
  <c r="B11" i="2"/>
  <c r="B12" i="2"/>
  <c r="B13" i="2"/>
  <c r="B14" i="2"/>
  <c r="B15" i="2"/>
  <c r="B17" i="2"/>
  <c r="C3" i="2"/>
  <c r="D3" i="2"/>
  <c r="E3" i="2"/>
  <c r="G3" i="2"/>
  <c r="G4" i="2"/>
  <c r="G5" i="2"/>
  <c r="G6" i="2"/>
  <c r="G7" i="2"/>
  <c r="G11" i="2"/>
  <c r="G12" i="2"/>
  <c r="G13" i="2"/>
  <c r="G14" i="2"/>
  <c r="G17" i="2"/>
  <c r="B20" i="2"/>
  <c r="C22" i="2"/>
  <c r="C24" i="2"/>
  <c r="C26" i="2"/>
  <c r="B27" i="2"/>
  <c r="D23" i="2"/>
  <c r="D25" i="2"/>
  <c r="F20" i="2"/>
  <c r="F21" i="2"/>
  <c r="F22" i="2"/>
  <c r="F23" i="2"/>
  <c r="F24" i="2"/>
  <c r="F26" i="2"/>
  <c r="F27" i="2"/>
  <c r="B1" i="3"/>
  <c r="B3" i="3"/>
  <c r="B5" i="3"/>
  <c r="B7" i="3"/>
  <c r="B8" i="3"/>
  <c r="B9" i="3"/>
  <c r="B10" i="3"/>
  <c r="B11" i="3"/>
  <c r="B12" i="3"/>
  <c r="B14" i="3"/>
  <c r="B15" i="3"/>
  <c r="B16" i="3"/>
  <c r="B18" i="3"/>
  <c r="B19" i="3"/>
  <c r="B20" i="3"/>
  <c r="B21" i="3"/>
  <c r="B23" i="3"/>
  <c r="B24" i="3"/>
  <c r="B27" i="3"/>
  <c r="B28" i="3"/>
  <c r="B29" i="3"/>
  <c r="B30" i="3"/>
  <c r="B31" i="3"/>
  <c r="B32" i="3"/>
  <c r="B33" i="3"/>
  <c r="B34" i="3"/>
  <c r="B35" i="3"/>
  <c r="B46" i="3"/>
  <c r="B48" i="3"/>
  <c r="B1" i="4"/>
  <c r="B3" i="4"/>
  <c r="B4" i="4"/>
  <c r="B5" i="4"/>
  <c r="B6" i="4"/>
  <c r="B7" i="4"/>
  <c r="B9" i="4"/>
  <c r="B10" i="4"/>
  <c r="B15" i="4" s="1"/>
  <c r="B11" i="4"/>
  <c r="B16" i="4" s="1"/>
  <c r="B12" i="4"/>
  <c r="B17" i="4" s="1"/>
  <c r="B19" i="4"/>
  <c r="B20" i="4"/>
  <c r="B21" i="4"/>
  <c r="B24" i="4"/>
  <c r="B25" i="4"/>
  <c r="B26" i="4"/>
  <c r="B27" i="4"/>
  <c r="B28" i="4"/>
  <c r="B29" i="4"/>
  <c r="B30" i="4"/>
  <c r="B32" i="4"/>
  <c r="B33" i="4"/>
  <c r="B35" i="4"/>
  <c r="G4" i="4"/>
  <c r="G5" i="4"/>
  <c r="G6" i="4"/>
  <c r="G8" i="4"/>
  <c r="G9" i="4"/>
  <c r="G11" i="4"/>
  <c r="B1" i="5"/>
  <c r="B2" i="5"/>
  <c r="B3" i="5"/>
  <c r="B4" i="5"/>
  <c r="B5" i="5"/>
  <c r="B6" i="5"/>
  <c r="B7" i="5"/>
  <c r="B8" i="5"/>
  <c r="B9" i="5"/>
  <c r="B10" i="5"/>
  <c r="B11" i="5"/>
  <c r="B88" i="5"/>
  <c r="B90" i="5"/>
  <c r="B43" i="5"/>
  <c r="B19" i="5"/>
  <c r="G5" i="5"/>
  <c r="G6" i="5"/>
  <c r="G7" i="5"/>
  <c r="G10" i="5"/>
  <c r="C10" i="5"/>
  <c r="B246" i="6"/>
  <c r="E114" i="22"/>
  <c r="B147" i="6"/>
  <c r="E112" i="22"/>
  <c r="D112" i="22"/>
  <c r="A112" i="22"/>
  <c r="B141" i="6" s="1"/>
  <c r="B137" i="6"/>
  <c r="A107" i="22"/>
  <c r="B132" i="6" s="1"/>
  <c r="A103" i="22"/>
  <c r="B124" i="6" s="1"/>
  <c r="E127" i="22"/>
  <c r="D127" i="22"/>
  <c r="B25" i="6"/>
  <c r="E128" i="22"/>
  <c r="D128" i="22"/>
  <c r="E126" i="22"/>
  <c r="D126" i="22"/>
  <c r="A30" i="22"/>
  <c r="B6" i="6" s="1"/>
  <c r="B3" i="6"/>
  <c r="B4" i="6"/>
  <c r="D3" i="6"/>
  <c r="B24" i="23"/>
  <c r="B22" i="23"/>
  <c r="B20" i="23"/>
  <c r="B19" i="23"/>
  <c r="B17" i="23"/>
  <c r="B16" i="23"/>
  <c r="B14" i="23"/>
  <c r="B13" i="23"/>
  <c r="B12" i="23"/>
  <c r="B11" i="23"/>
  <c r="B9" i="23"/>
  <c r="B8" i="23"/>
  <c r="B3" i="23"/>
  <c r="B1" i="23"/>
  <c r="B139" i="6"/>
  <c r="B143" i="6"/>
  <c r="B47" i="4"/>
  <c r="B128" i="6"/>
  <c r="B162" i="6"/>
  <c r="B120" i="6"/>
  <c r="D174" i="6"/>
  <c r="C3" i="5"/>
  <c r="C4" i="5" s="1"/>
  <c r="C11" i="5"/>
  <c r="C9" i="21"/>
  <c r="N53" i="19"/>
  <c r="M53" i="19"/>
  <c r="N52" i="19"/>
  <c r="M52" i="19"/>
  <c r="N51" i="19"/>
  <c r="M51" i="19"/>
  <c r="N50" i="19"/>
  <c r="M50" i="19"/>
  <c r="N49" i="19"/>
  <c r="M49" i="19"/>
  <c r="N44" i="19"/>
  <c r="M44" i="19"/>
  <c r="N43" i="19"/>
  <c r="M43" i="19"/>
  <c r="N42" i="19"/>
  <c r="M42" i="19"/>
  <c r="C4" i="4"/>
  <c r="C10" i="4"/>
  <c r="D13" i="2"/>
  <c r="E13" i="2" s="1"/>
  <c r="D9" i="2"/>
  <c r="E9" i="2" s="1"/>
  <c r="H5" i="2"/>
  <c r="H6" i="2"/>
  <c r="H12" i="2"/>
  <c r="Q44" i="19"/>
  <c r="J44" i="19" s="1"/>
  <c r="Q43" i="19"/>
  <c r="J43" i="19" s="1"/>
  <c r="Q50" i="19"/>
  <c r="J50" i="19" s="1"/>
  <c r="Q51" i="19"/>
  <c r="J51" i="19" s="1"/>
  <c r="Q52" i="19"/>
  <c r="J52" i="19" s="1"/>
  <c r="Q53" i="19"/>
  <c r="J53" i="19" s="1"/>
  <c r="D13" i="5"/>
  <c r="E13" i="5" s="1"/>
  <c r="F13" i="5" s="1"/>
  <c r="G13" i="5" s="1"/>
  <c r="H13" i="5" s="1"/>
  <c r="I13" i="5" s="1"/>
  <c r="J13" i="5" s="1"/>
  <c r="K13" i="5" s="1"/>
  <c r="L13" i="5" s="1"/>
  <c r="M13" i="5" s="1"/>
  <c r="N13" i="5" s="1"/>
  <c r="C22" i="5" s="1"/>
  <c r="D22" i="5" s="1"/>
  <c r="E22" i="5" s="1"/>
  <c r="F22" i="5" s="1"/>
  <c r="G22" i="5" s="1"/>
  <c r="H22" i="5" s="1"/>
  <c r="I22" i="5" s="1"/>
  <c r="J22" i="5" s="1"/>
  <c r="K22" i="5" s="1"/>
  <c r="L22" i="5" s="1"/>
  <c r="M22" i="5" s="1"/>
  <c r="N22" i="5" s="1"/>
  <c r="C30" i="5" s="1"/>
  <c r="D30" i="5" s="1"/>
  <c r="E30" i="5" s="1"/>
  <c r="F30" i="5" s="1"/>
  <c r="G30" i="5" s="1"/>
  <c r="H30" i="5" s="1"/>
  <c r="I30" i="5" s="1"/>
  <c r="J30" i="5" s="1"/>
  <c r="K30" i="5" s="1"/>
  <c r="L30" i="5" s="1"/>
  <c r="M30" i="5" s="1"/>
  <c r="N30" i="5" s="1"/>
  <c r="C38" i="5" s="1"/>
  <c r="D38" i="5" s="1"/>
  <c r="E38" i="5" s="1"/>
  <c r="F38" i="5" s="1"/>
  <c r="G38" i="5" s="1"/>
  <c r="H38" i="5" s="1"/>
  <c r="I38" i="5" s="1"/>
  <c r="J38" i="5" s="1"/>
  <c r="K38" i="5" s="1"/>
  <c r="L38" i="5" s="1"/>
  <c r="M38" i="5" s="1"/>
  <c r="N38" i="5" s="1"/>
  <c r="C46" i="5" s="1"/>
  <c r="D46" i="5" s="1"/>
  <c r="E46" i="5" s="1"/>
  <c r="F46" i="5" s="1"/>
  <c r="G46" i="5" s="1"/>
  <c r="H46" i="5" s="1"/>
  <c r="I46" i="5" s="1"/>
  <c r="J46" i="5" s="1"/>
  <c r="K46" i="5" s="1"/>
  <c r="L46" i="5" s="1"/>
  <c r="M46" i="5" s="1"/>
  <c r="N46" i="5" s="1"/>
  <c r="C54" i="5" s="1"/>
  <c r="D54" i="5" s="1"/>
  <c r="E54" i="5" s="1"/>
  <c r="F54" i="5" s="1"/>
  <c r="G54" i="5" s="1"/>
  <c r="H54" i="5" s="1"/>
  <c r="I54" i="5" s="1"/>
  <c r="J54" i="5" s="1"/>
  <c r="K54" i="5" s="1"/>
  <c r="L54" i="5" s="1"/>
  <c r="M54" i="5" s="1"/>
  <c r="N54" i="5" s="1"/>
  <c r="K50" i="19"/>
  <c r="K51" i="19"/>
  <c r="K52" i="19"/>
  <c r="J49" i="19"/>
  <c r="K49" i="19"/>
  <c r="L37" i="19"/>
  <c r="K43" i="19"/>
  <c r="J42" i="19"/>
  <c r="K42" i="19"/>
  <c r="J37" i="19"/>
  <c r="L32" i="19"/>
  <c r="L31" i="19"/>
  <c r="K31" i="19"/>
  <c r="L30" i="19"/>
  <c r="K30" i="19"/>
  <c r="L29" i="19"/>
  <c r="K29" i="19"/>
  <c r="L28" i="19"/>
  <c r="K28" i="19"/>
  <c r="J28" i="19"/>
  <c r="L23" i="19"/>
  <c r="Q23" i="19"/>
  <c r="J23" i="19" s="1"/>
  <c r="L22" i="19"/>
  <c r="K22" i="19"/>
  <c r="Q22" i="19"/>
  <c r="J22" i="19" s="1"/>
  <c r="L21" i="19"/>
  <c r="K21" i="19"/>
  <c r="Q21" i="19"/>
  <c r="J21" i="19" s="1"/>
  <c r="L20" i="19"/>
  <c r="K20" i="19"/>
  <c r="Q20" i="19"/>
  <c r="J20" i="19" s="1"/>
  <c r="L19" i="19"/>
  <c r="K19" i="19"/>
  <c r="J19" i="19"/>
  <c r="L14" i="19"/>
  <c r="J14" i="19"/>
  <c r="J9" i="19"/>
  <c r="J6" i="19"/>
  <c r="J46" i="19"/>
  <c r="J39" i="19"/>
  <c r="J34" i="19"/>
  <c r="J25" i="19"/>
  <c r="J16" i="19"/>
  <c r="J11" i="19"/>
  <c r="D186" i="6"/>
  <c r="D188" i="6"/>
  <c r="D190" i="6"/>
  <c r="D180" i="6"/>
  <c r="D182" i="6"/>
  <c r="D184" i="6"/>
  <c r="D176" i="6"/>
  <c r="D178" i="6"/>
  <c r="B19" i="19"/>
  <c r="B18" i="19"/>
  <c r="C18" i="19"/>
  <c r="D18" i="19"/>
  <c r="E18" i="19"/>
  <c r="B23" i="19"/>
  <c r="C23" i="19"/>
  <c r="D23" i="19"/>
  <c r="E23" i="19"/>
  <c r="A15" i="6"/>
  <c r="A17" i="6" s="1"/>
  <c r="A19" i="6" s="1"/>
  <c r="A21" i="6" s="1"/>
  <c r="A23" i="6" s="1"/>
  <c r="A25" i="6" s="1"/>
  <c r="A27" i="6" s="1"/>
  <c r="A29" i="6" s="1"/>
  <c r="A38" i="6" s="1"/>
  <c r="A72" i="6" s="1"/>
  <c r="A74" i="6" s="1"/>
  <c r="A76" i="6" s="1"/>
  <c r="A78" i="6" s="1"/>
  <c r="A80" i="6" s="1"/>
  <c r="A82" i="6" s="1"/>
  <c r="A86" i="6" s="1"/>
  <c r="A118" i="6" s="1"/>
  <c r="A120" i="6" s="1"/>
  <c r="A128" i="6" s="1"/>
  <c r="A138" i="6" s="1"/>
  <c r="A162" i="6" s="1"/>
  <c r="A166" i="6" s="1"/>
  <c r="A168" i="6" s="1"/>
  <c r="A170" i="6" s="1"/>
  <c r="H64" i="6"/>
  <c r="D24" i="19"/>
  <c r="B24" i="19"/>
  <c r="D192" i="6"/>
  <c r="D194" i="6"/>
  <c r="D196" i="6"/>
  <c r="D64" i="6"/>
  <c r="C10" i="3"/>
  <c r="P10" i="3" s="1"/>
  <c r="D247" i="6"/>
  <c r="F247" i="6"/>
  <c r="C9" i="3"/>
  <c r="P9" i="3" s="1"/>
  <c r="A53" i="22"/>
  <c r="B29" i="6" s="1"/>
  <c r="C19" i="4" l="1"/>
  <c r="C5" i="4"/>
  <c r="I30" i="3"/>
  <c r="D66" i="6"/>
  <c r="Q39" i="3" s="1"/>
  <c r="AC39" i="3" s="1"/>
  <c r="D42" i="4" s="1"/>
  <c r="H66" i="6"/>
  <c r="D15" i="3"/>
  <c r="A104" i="22"/>
  <c r="B126" i="6" s="1"/>
  <c r="A106" i="22"/>
  <c r="B130" i="6" s="1"/>
  <c r="A108" i="22"/>
  <c r="B134" i="6" s="1"/>
  <c r="A114" i="22"/>
  <c r="B145" i="6" s="1"/>
  <c r="T20" i="19"/>
  <c r="M20" i="19"/>
  <c r="T21" i="19"/>
  <c r="M21" i="19"/>
  <c r="B26" i="3"/>
  <c r="B72" i="5"/>
  <c r="E5" i="2"/>
  <c r="E4" i="2"/>
  <c r="E6" i="2"/>
  <c r="E8" i="2"/>
  <c r="E7" i="2"/>
  <c r="B10" i="21"/>
  <c r="C11" i="4"/>
  <c r="C12" i="4" s="1"/>
  <c r="E30" i="3"/>
  <c r="P32" i="3"/>
  <c r="C33" i="4" s="1"/>
  <c r="A3" i="21"/>
  <c r="P27" i="3"/>
  <c r="C26" i="4" s="1"/>
  <c r="C28" i="3"/>
  <c r="P28" i="3" s="1"/>
  <c r="B66" i="5"/>
  <c r="C19" i="3"/>
  <c r="P19" i="3" s="1"/>
  <c r="AC19" i="3" s="1"/>
  <c r="AP19" i="3" s="1"/>
  <c r="B25" i="2"/>
  <c r="B23" i="2"/>
  <c r="B18" i="5"/>
  <c r="B50" i="5"/>
  <c r="B74" i="5"/>
  <c r="B34" i="5"/>
  <c r="B40" i="4"/>
  <c r="B48" i="5"/>
  <c r="B56" i="5"/>
  <c r="B82" i="5"/>
  <c r="B42" i="5"/>
  <c r="B42" i="4"/>
  <c r="B17" i="5"/>
  <c r="B26" i="5"/>
  <c r="B172" i="6"/>
  <c r="B58" i="5"/>
  <c r="C62" i="5"/>
  <c r="D62" i="5" s="1"/>
  <c r="E62" i="5" s="1"/>
  <c r="F62" i="5" s="1"/>
  <c r="G62" i="5" s="1"/>
  <c r="H62" i="5" s="1"/>
  <c r="I62" i="5" s="1"/>
  <c r="J62" i="5" s="1"/>
  <c r="K62" i="5" s="1"/>
  <c r="L62" i="5" s="1"/>
  <c r="M62" i="5" s="1"/>
  <c r="N62" i="5" s="1"/>
  <c r="B54" i="5"/>
  <c r="A173" i="6"/>
  <c r="A247" i="6" s="1"/>
  <c r="A249" i="6"/>
  <c r="A251" i="6" s="1"/>
  <c r="A254" i="6" s="1"/>
  <c r="A328" i="6" s="1"/>
  <c r="E12" i="2"/>
  <c r="B76" i="5"/>
  <c r="B68" i="5"/>
  <c r="A72" i="22"/>
  <c r="B68" i="6" s="1"/>
  <c r="A128" i="22"/>
  <c r="B170" i="6" s="1"/>
  <c r="A127" i="22"/>
  <c r="B168" i="6" s="1"/>
  <c r="A126" i="22"/>
  <c r="B166" i="6" s="1"/>
  <c r="A42" i="22"/>
  <c r="D10" i="6" s="1"/>
  <c r="C10" i="21"/>
  <c r="B75" i="5"/>
  <c r="B27" i="5"/>
  <c r="B59" i="5"/>
  <c r="B32" i="5"/>
  <c r="B83" i="5"/>
  <c r="B40" i="5"/>
  <c r="B15" i="5"/>
  <c r="B64" i="5"/>
  <c r="B35" i="5"/>
  <c r="B67" i="5"/>
  <c r="B91" i="5"/>
  <c r="B51" i="5"/>
  <c r="B80" i="5"/>
  <c r="B24" i="5"/>
  <c r="B60" i="5"/>
  <c r="B52" i="5"/>
  <c r="B28" i="5"/>
  <c r="B20" i="5"/>
  <c r="B44" i="5"/>
  <c r="B84" i="5"/>
  <c r="B36" i="5"/>
  <c r="B92" i="5"/>
  <c r="B38" i="5"/>
  <c r="B46" i="5"/>
  <c r="B30" i="5"/>
  <c r="B13" i="5"/>
  <c r="B22" i="5"/>
  <c r="E9" i="21"/>
  <c r="F9" i="21" s="1"/>
  <c r="K42" i="3" l="1"/>
  <c r="Q42" i="3"/>
  <c r="AC42" i="3" s="1"/>
  <c r="D47" i="4" s="1"/>
  <c r="I8" i="4" s="1"/>
  <c r="M42" i="3"/>
  <c r="N42" i="3"/>
  <c r="O42" i="3"/>
  <c r="L42" i="3"/>
  <c r="J42" i="3"/>
  <c r="G3" i="25"/>
  <c r="G3" i="24"/>
  <c r="J1" i="24"/>
  <c r="C3" i="25"/>
  <c r="A22" i="25" s="1"/>
  <c r="C3" i="24"/>
  <c r="A22" i="24" s="1"/>
  <c r="J1" i="25"/>
  <c r="Q3" i="25" s="1"/>
  <c r="C27" i="4"/>
  <c r="C6" i="4"/>
  <c r="C7" i="4" s="1"/>
  <c r="C20" i="4"/>
  <c r="C21" i="4" s="1"/>
  <c r="E42" i="3"/>
  <c r="F42" i="3"/>
  <c r="G42" i="3"/>
  <c r="H42" i="3"/>
  <c r="I42" i="3"/>
  <c r="D42" i="3"/>
  <c r="N39" i="3"/>
  <c r="O39" i="3"/>
  <c r="M39" i="3"/>
  <c r="J39" i="3"/>
  <c r="K39" i="3"/>
  <c r="L39" i="3"/>
  <c r="E39" i="3"/>
  <c r="I39" i="3"/>
  <c r="F39" i="3"/>
  <c r="G39" i="3"/>
  <c r="H39" i="3"/>
  <c r="D39" i="3"/>
  <c r="G3" i="19"/>
  <c r="A52" i="22"/>
  <c r="B27" i="6" s="1"/>
  <c r="A73" i="22"/>
  <c r="A295" i="22"/>
  <c r="A370" i="22"/>
  <c r="G3" i="5" s="1"/>
  <c r="A299" i="22"/>
  <c r="B25" i="3" s="1"/>
  <c r="A38" i="22"/>
  <c r="A41" i="22"/>
  <c r="H10" i="6" s="1"/>
  <c r="A340" i="22"/>
  <c r="B44" i="3"/>
  <c r="G3" i="4"/>
  <c r="G4" i="5"/>
  <c r="G30" i="3"/>
  <c r="K30" i="3"/>
  <c r="F30" i="3"/>
  <c r="C17" i="2"/>
  <c r="H4" i="2" s="1"/>
  <c r="H7" i="2" s="1"/>
  <c r="H30" i="3"/>
  <c r="L30" i="3"/>
  <c r="M30" i="3"/>
  <c r="O30" i="3"/>
  <c r="J30" i="3"/>
  <c r="C29" i="4"/>
  <c r="D30" i="3"/>
  <c r="P29" i="3"/>
  <c r="F15" i="3"/>
  <c r="L16" i="3"/>
  <c r="N30" i="3"/>
  <c r="I15" i="3"/>
  <c r="C11" i="21"/>
  <c r="B11" i="21"/>
  <c r="P26" i="3"/>
  <c r="C25" i="4" s="1"/>
  <c r="G16" i="3"/>
  <c r="P24" i="3"/>
  <c r="C24" i="4" s="1"/>
  <c r="P20" i="3"/>
  <c r="AC20" i="3" s="1"/>
  <c r="AP20" i="3" s="1"/>
  <c r="P11" i="3"/>
  <c r="P12" i="3"/>
  <c r="N15" i="3"/>
  <c r="E15" i="3"/>
  <c r="O15" i="3"/>
  <c r="D16" i="3"/>
  <c r="P21" i="3"/>
  <c r="AC21" i="3" s="1"/>
  <c r="AP21" i="3" s="1"/>
  <c r="K15" i="3"/>
  <c r="H16" i="3"/>
  <c r="M15" i="3"/>
  <c r="C70" i="5"/>
  <c r="D70" i="5" s="1"/>
  <c r="E70" i="5" s="1"/>
  <c r="F70" i="5" s="1"/>
  <c r="G70" i="5" s="1"/>
  <c r="H70" i="5" s="1"/>
  <c r="I70" i="5" s="1"/>
  <c r="J70" i="5" s="1"/>
  <c r="K70" i="5" s="1"/>
  <c r="L70" i="5" s="1"/>
  <c r="M70" i="5" s="1"/>
  <c r="N70" i="5" s="1"/>
  <c r="B62" i="5"/>
  <c r="E10" i="21"/>
  <c r="F10" i="21" s="1"/>
  <c r="E11" i="21" s="1"/>
  <c r="F11" i="21" s="1"/>
  <c r="G2" i="26" l="1"/>
  <c r="D2" i="26"/>
  <c r="J3" i="25"/>
  <c r="B3" i="25"/>
  <c r="A17" i="25" s="1"/>
  <c r="B3" i="24"/>
  <c r="A17" i="24" s="1"/>
  <c r="Q1" i="24"/>
  <c r="Q1" i="25"/>
  <c r="J3" i="24"/>
  <c r="H5" i="4"/>
  <c r="D29" i="4"/>
  <c r="C28" i="4"/>
  <c r="Q31" i="3"/>
  <c r="AC31" i="3" s="1"/>
  <c r="J31" i="3"/>
  <c r="M31" i="3"/>
  <c r="B41" i="3"/>
  <c r="B23" i="4"/>
  <c r="B42" i="3"/>
  <c r="B46" i="4"/>
  <c r="B41" i="4"/>
  <c r="B37" i="4"/>
  <c r="B39" i="3"/>
  <c r="B38" i="3"/>
  <c r="P10" i="21"/>
  <c r="O10" i="21"/>
  <c r="P33" i="3"/>
  <c r="C12" i="21"/>
  <c r="I16" i="3"/>
  <c r="L15" i="3"/>
  <c r="F16" i="3"/>
  <c r="G15" i="3"/>
  <c r="O11" i="21"/>
  <c r="B12" i="21"/>
  <c r="P11" i="21"/>
  <c r="P42" i="3"/>
  <c r="C47" i="4" s="1"/>
  <c r="P23" i="3"/>
  <c r="AC23" i="3" s="1"/>
  <c r="AP23" i="3" s="1"/>
  <c r="E16" i="3"/>
  <c r="N16" i="3"/>
  <c r="J16" i="3"/>
  <c r="J15" i="3"/>
  <c r="O16" i="3"/>
  <c r="K16" i="3"/>
  <c r="H15" i="3"/>
  <c r="P14" i="3"/>
  <c r="M16" i="3"/>
  <c r="C78" i="5"/>
  <c r="D78" i="5" s="1"/>
  <c r="E78" i="5" s="1"/>
  <c r="F78" i="5" s="1"/>
  <c r="G78" i="5" s="1"/>
  <c r="H78" i="5" s="1"/>
  <c r="I78" i="5" s="1"/>
  <c r="J78" i="5" s="1"/>
  <c r="K78" i="5" s="1"/>
  <c r="L78" i="5" s="1"/>
  <c r="M78" i="5" s="1"/>
  <c r="N78" i="5" s="1"/>
  <c r="B70" i="5"/>
  <c r="G10" i="21"/>
  <c r="E12" i="21"/>
  <c r="F12" i="21" s="1"/>
  <c r="G11" i="21"/>
  <c r="M28" i="25" l="1"/>
  <c r="M32" i="25"/>
  <c r="M31" i="25"/>
  <c r="M29" i="25"/>
  <c r="M30" i="25"/>
  <c r="M28" i="24"/>
  <c r="M31" i="24"/>
  <c r="M32" i="24"/>
  <c r="M29" i="24"/>
  <c r="M30" i="24"/>
  <c r="I5" i="4"/>
  <c r="E29" i="4"/>
  <c r="D30" i="4"/>
  <c r="Q3" i="24"/>
  <c r="C13" i="21"/>
  <c r="B13" i="21"/>
  <c r="B14" i="21" s="1"/>
  <c r="P12" i="21"/>
  <c r="O12" i="21"/>
  <c r="P15" i="3"/>
  <c r="C86" i="5"/>
  <c r="D86" i="5" s="1"/>
  <c r="E86" i="5" s="1"/>
  <c r="F86" i="5" s="1"/>
  <c r="G86" i="5" s="1"/>
  <c r="H86" i="5" s="1"/>
  <c r="I86" i="5" s="1"/>
  <c r="J86" i="5" s="1"/>
  <c r="K86" i="5" s="1"/>
  <c r="L86" i="5" s="1"/>
  <c r="M86" i="5" s="1"/>
  <c r="N86" i="5" s="1"/>
  <c r="B86" i="5" s="1"/>
  <c r="B78" i="5"/>
  <c r="E13" i="21"/>
  <c r="F13" i="21" s="1"/>
  <c r="G12" i="21"/>
  <c r="I25" i="24" l="1"/>
  <c r="T30" i="24"/>
  <c r="T31" i="24"/>
  <c r="T32" i="24"/>
  <c r="T28" i="24"/>
  <c r="T29" i="24"/>
  <c r="J5" i="4"/>
  <c r="E30" i="4"/>
  <c r="T29" i="25"/>
  <c r="T30" i="25"/>
  <c r="T28" i="25"/>
  <c r="T32" i="25"/>
  <c r="T31" i="25"/>
  <c r="I25" i="25"/>
  <c r="O13" i="21"/>
  <c r="C14" i="21"/>
  <c r="C15" i="21" s="1"/>
  <c r="P13" i="21"/>
  <c r="O14" i="21"/>
  <c r="P14" i="21"/>
  <c r="B15" i="21"/>
  <c r="E14" i="21"/>
  <c r="F14" i="21" s="1"/>
  <c r="G13" i="21"/>
  <c r="P25" i="24" l="1"/>
  <c r="P25" i="25"/>
  <c r="C16" i="21"/>
  <c r="B16" i="21"/>
  <c r="O15" i="21"/>
  <c r="P15" i="21"/>
  <c r="G14" i="21"/>
  <c r="E15" i="21"/>
  <c r="F15" i="21" s="1"/>
  <c r="P16" i="21" l="1"/>
  <c r="O16" i="21"/>
  <c r="B17" i="21"/>
  <c r="C17" i="21"/>
  <c r="G15" i="21"/>
  <c r="E16" i="21"/>
  <c r="F16" i="21" s="1"/>
  <c r="C18" i="21" l="1"/>
  <c r="B18" i="21"/>
  <c r="O17" i="21"/>
  <c r="P17" i="21"/>
  <c r="G16" i="21"/>
  <c r="E17" i="21"/>
  <c r="F17" i="21" s="1"/>
  <c r="B19" i="21" l="1"/>
  <c r="P18" i="21"/>
  <c r="O18" i="21"/>
  <c r="C19" i="21"/>
  <c r="G17" i="21"/>
  <c r="E18" i="21"/>
  <c r="F18" i="21" s="1"/>
  <c r="C20" i="21" l="1"/>
  <c r="O19" i="21"/>
  <c r="B20" i="21"/>
  <c r="P19" i="21"/>
  <c r="G18" i="21"/>
  <c r="E19" i="21"/>
  <c r="F19" i="21" s="1"/>
  <c r="B21" i="21" l="1"/>
  <c r="O20" i="21"/>
  <c r="P20" i="21"/>
  <c r="C21" i="21"/>
  <c r="E20" i="21"/>
  <c r="F20" i="21" s="1"/>
  <c r="G19" i="21"/>
  <c r="C22" i="21" l="1"/>
  <c r="P21" i="21"/>
  <c r="B22" i="21"/>
  <c r="O21" i="21"/>
  <c r="E21" i="21"/>
  <c r="F21" i="21" s="1"/>
  <c r="G20" i="21"/>
  <c r="C23" i="21" l="1"/>
  <c r="P22" i="21"/>
  <c r="B23" i="21"/>
  <c r="O22" i="21"/>
  <c r="E22" i="21"/>
  <c r="F22" i="21" s="1"/>
  <c r="G21" i="21"/>
  <c r="B24" i="21" l="1"/>
  <c r="O23" i="21"/>
  <c r="P23" i="21"/>
  <c r="C24" i="21"/>
  <c r="G22" i="21"/>
  <c r="E23" i="21"/>
  <c r="F23" i="21" s="1"/>
  <c r="C25" i="21" l="1"/>
  <c r="B25" i="21"/>
  <c r="P24" i="21"/>
  <c r="O24" i="21"/>
  <c r="G23" i="21"/>
  <c r="E24" i="21"/>
  <c r="F24" i="21" s="1"/>
  <c r="C26" i="21" l="1"/>
  <c r="O25" i="21"/>
  <c r="B26" i="21"/>
  <c r="P25" i="21"/>
  <c r="G24" i="21"/>
  <c r="E25" i="21"/>
  <c r="F25" i="21" s="1"/>
  <c r="O26" i="21" l="1"/>
  <c r="B27" i="21"/>
  <c r="P26" i="21"/>
  <c r="C27" i="21"/>
  <c r="E26" i="21"/>
  <c r="F26" i="21" s="1"/>
  <c r="G25" i="21"/>
  <c r="C28" i="21" l="1"/>
  <c r="P27" i="21"/>
  <c r="B28" i="21"/>
  <c r="O27" i="21"/>
  <c r="G26" i="21"/>
  <c r="E27" i="21"/>
  <c r="F27" i="21" s="1"/>
  <c r="C29" i="21" l="1"/>
  <c r="O28" i="21"/>
  <c r="B29" i="21"/>
  <c r="P28" i="21"/>
  <c r="G27" i="21"/>
  <c r="E28" i="21"/>
  <c r="F28" i="21" s="1"/>
  <c r="O29" i="21" l="1"/>
  <c r="B30" i="21"/>
  <c r="P29" i="21"/>
  <c r="C30" i="21"/>
  <c r="G28" i="21"/>
  <c r="E29" i="21"/>
  <c r="F29" i="21" s="1"/>
  <c r="C31" i="21" l="1"/>
  <c r="P30" i="21"/>
  <c r="B31" i="21"/>
  <c r="O30" i="21"/>
  <c r="G29" i="21"/>
  <c r="E30" i="21"/>
  <c r="F30" i="21" s="1"/>
  <c r="O31" i="21" l="1"/>
  <c r="P31" i="21"/>
  <c r="B32" i="21"/>
  <c r="C32" i="21"/>
  <c r="G30" i="21"/>
  <c r="E31" i="21"/>
  <c r="F31" i="21" s="1"/>
  <c r="C33" i="21" l="1"/>
  <c r="O32" i="21"/>
  <c r="P32" i="21"/>
  <c r="B33" i="21"/>
  <c r="E32" i="21"/>
  <c r="F32" i="21" s="1"/>
  <c r="G31" i="21"/>
  <c r="O33" i="21" l="1"/>
  <c r="B34" i="21"/>
  <c r="P33" i="21"/>
  <c r="C34" i="21"/>
  <c r="E33" i="21"/>
  <c r="F33" i="21" s="1"/>
  <c r="G32" i="21"/>
  <c r="C35" i="21" l="1"/>
  <c r="B35" i="21"/>
  <c r="O34" i="21"/>
  <c r="P34" i="21"/>
  <c r="E34" i="21"/>
  <c r="F34" i="21" s="1"/>
  <c r="G33" i="21"/>
  <c r="B36" i="21" l="1"/>
  <c r="O35" i="21"/>
  <c r="P35" i="21"/>
  <c r="C36" i="21"/>
  <c r="G34" i="21"/>
  <c r="E35" i="21"/>
  <c r="F35" i="21" s="1"/>
  <c r="C37" i="21" l="1"/>
  <c r="O36" i="21"/>
  <c r="P36" i="21"/>
  <c r="B37" i="21"/>
  <c r="G35" i="21"/>
  <c r="E36" i="21"/>
  <c r="F36" i="21" s="1"/>
  <c r="T19" i="19" l="1"/>
  <c r="M22" i="19"/>
  <c r="M23" i="19"/>
  <c r="C38" i="21"/>
  <c r="P37" i="21"/>
  <c r="B38" i="21"/>
  <c r="O37" i="21"/>
  <c r="E37" i="21"/>
  <c r="F37" i="21" s="1"/>
  <c r="G36" i="21"/>
  <c r="C39" i="21" l="1"/>
  <c r="B39" i="21"/>
  <c r="P38" i="21"/>
  <c r="O38" i="21"/>
  <c r="E38" i="21"/>
  <c r="F38" i="21" s="1"/>
  <c r="G37" i="21"/>
  <c r="C40" i="21" l="1"/>
  <c r="P39" i="21"/>
  <c r="O39" i="21"/>
  <c r="B40" i="21"/>
  <c r="E39" i="21"/>
  <c r="F39" i="21" s="1"/>
  <c r="G38" i="21"/>
  <c r="C41" i="21" l="1"/>
  <c r="P40" i="21"/>
  <c r="O40" i="21"/>
  <c r="B41" i="21"/>
  <c r="G39" i="21"/>
  <c r="E40" i="21"/>
  <c r="F40" i="21" s="1"/>
  <c r="P41" i="21" l="1"/>
  <c r="O41" i="21"/>
  <c r="B42" i="21"/>
  <c r="C42" i="21"/>
  <c r="G40" i="21"/>
  <c r="E41" i="21"/>
  <c r="F41" i="21" s="1"/>
  <c r="C43" i="21" l="1"/>
  <c r="P42" i="21"/>
  <c r="B43" i="21"/>
  <c r="O42" i="21"/>
  <c r="E42" i="21"/>
  <c r="F42" i="21" s="1"/>
  <c r="G41" i="21"/>
  <c r="O43" i="21" l="1"/>
  <c r="B44" i="21"/>
  <c r="P43" i="21"/>
  <c r="C44" i="21"/>
  <c r="E43" i="21"/>
  <c r="F43" i="21" s="1"/>
  <c r="G42" i="21"/>
  <c r="C45" i="21" l="1"/>
  <c r="O44" i="21"/>
  <c r="P44" i="21"/>
  <c r="B45" i="21"/>
  <c r="G43" i="21"/>
  <c r="E44" i="21"/>
  <c r="F44" i="21" s="1"/>
  <c r="P45" i="21" l="1"/>
  <c r="O45" i="21"/>
  <c r="B46" i="21"/>
  <c r="C46" i="21"/>
  <c r="G44" i="21"/>
  <c r="E45" i="21"/>
  <c r="F45" i="21" s="1"/>
  <c r="B47" i="21" l="1"/>
  <c r="P46" i="21"/>
  <c r="O46" i="21"/>
  <c r="C47" i="21"/>
  <c r="G45" i="21"/>
  <c r="E46" i="21"/>
  <c r="F46" i="21" s="1"/>
  <c r="C48" i="21" l="1"/>
  <c r="P47" i="21"/>
  <c r="O47" i="21"/>
  <c r="B48" i="21"/>
  <c r="G46" i="21"/>
  <c r="E47" i="21"/>
  <c r="F47" i="21" s="1"/>
  <c r="B49" i="21" l="1"/>
  <c r="P48" i="21"/>
  <c r="O48" i="21"/>
  <c r="C49" i="21"/>
  <c r="E48" i="21"/>
  <c r="F48" i="21" s="1"/>
  <c r="G47" i="21"/>
  <c r="B50" i="21" l="1"/>
  <c r="P49" i="21"/>
  <c r="O49" i="21"/>
  <c r="C50" i="21"/>
  <c r="E49" i="21"/>
  <c r="F49" i="21" s="1"/>
  <c r="G48" i="21"/>
  <c r="B51" i="21" l="1"/>
  <c r="O50" i="21"/>
  <c r="P50" i="21"/>
  <c r="C51" i="21"/>
  <c r="G49" i="21"/>
  <c r="E50" i="21"/>
  <c r="F50" i="21" s="1"/>
  <c r="C52" i="21" l="1"/>
  <c r="P51" i="21"/>
  <c r="B52" i="21"/>
  <c r="O51" i="21"/>
  <c r="G50" i="21"/>
  <c r="E51" i="21"/>
  <c r="F51" i="21" s="1"/>
  <c r="C53" i="21" l="1"/>
  <c r="O52" i="21"/>
  <c r="P52" i="21"/>
  <c r="B53" i="21"/>
  <c r="E52" i="21"/>
  <c r="F52" i="21" s="1"/>
  <c r="G51" i="21"/>
  <c r="C54" i="21" l="1"/>
  <c r="B54" i="21"/>
  <c r="O53" i="21"/>
  <c r="P53" i="21"/>
  <c r="G52" i="21"/>
  <c r="E53" i="21"/>
  <c r="F53" i="21" s="1"/>
  <c r="P54" i="21" l="1"/>
  <c r="B55" i="21"/>
  <c r="O54" i="21"/>
  <c r="C55" i="21"/>
  <c r="G53" i="21"/>
  <c r="E54" i="21"/>
  <c r="F54" i="21" s="1"/>
  <c r="C56" i="21" l="1"/>
  <c r="B56" i="21"/>
  <c r="O55" i="21"/>
  <c r="P55" i="21"/>
  <c r="E55" i="21"/>
  <c r="F55" i="21" s="1"/>
  <c r="G54" i="21"/>
  <c r="C57" i="21" l="1"/>
  <c r="P56" i="21"/>
  <c r="B57" i="21"/>
  <c r="O56" i="21"/>
  <c r="G55" i="21"/>
  <c r="E56" i="21"/>
  <c r="F56" i="21" s="1"/>
  <c r="B58" i="21" l="1"/>
  <c r="P57" i="21"/>
  <c r="O57" i="21"/>
  <c r="C58" i="21"/>
  <c r="G56" i="21"/>
  <c r="E57" i="21"/>
  <c r="F57" i="21" s="1"/>
  <c r="C59" i="21" l="1"/>
  <c r="B59" i="21"/>
  <c r="O58" i="21"/>
  <c r="P58" i="21"/>
  <c r="E58" i="21"/>
  <c r="F58" i="21" s="1"/>
  <c r="G57" i="21"/>
  <c r="C60" i="21" l="1"/>
  <c r="P59" i="21"/>
  <c r="B60" i="21"/>
  <c r="O59" i="21"/>
  <c r="G58" i="21"/>
  <c r="E59" i="21"/>
  <c r="F59" i="21" s="1"/>
  <c r="C61" i="21" l="1"/>
  <c r="P60" i="21"/>
  <c r="B61" i="21"/>
  <c r="O60" i="21"/>
  <c r="G59" i="21"/>
  <c r="E60" i="21"/>
  <c r="F60" i="21" s="1"/>
  <c r="C62" i="21" l="1"/>
  <c r="O61" i="21"/>
  <c r="B62" i="21"/>
  <c r="P61" i="21"/>
  <c r="E61" i="21"/>
  <c r="F61" i="21" s="1"/>
  <c r="G60" i="21"/>
  <c r="C63" i="21" l="1"/>
  <c r="P62" i="21"/>
  <c r="B63" i="21"/>
  <c r="O62" i="21"/>
  <c r="G61" i="21"/>
  <c r="E62" i="21"/>
  <c r="F62" i="21" s="1"/>
  <c r="B64" i="21" l="1"/>
  <c r="P63" i="21"/>
  <c r="O63" i="21"/>
  <c r="C64" i="21"/>
  <c r="G62" i="21"/>
  <c r="E63" i="21"/>
  <c r="F63" i="21" s="1"/>
  <c r="P64" i="21" l="1"/>
  <c r="B65" i="21"/>
  <c r="O64" i="21"/>
  <c r="C65" i="21"/>
  <c r="G63" i="21"/>
  <c r="E64" i="21"/>
  <c r="F64" i="21" s="1"/>
  <c r="C66" i="21" l="1"/>
  <c r="O65" i="21"/>
  <c r="B66" i="21"/>
  <c r="P65" i="21"/>
  <c r="G64" i="21"/>
  <c r="E65" i="21"/>
  <c r="F65" i="21" s="1"/>
  <c r="C67" i="21" l="1"/>
  <c r="B67" i="21"/>
  <c r="P66" i="21"/>
  <c r="O66" i="21"/>
  <c r="E66" i="21"/>
  <c r="F66" i="21" s="1"/>
  <c r="G65" i="21"/>
  <c r="C68" i="21" l="1"/>
  <c r="P67" i="21"/>
  <c r="O67" i="21"/>
  <c r="B68" i="21"/>
  <c r="G66" i="21"/>
  <c r="E67" i="21"/>
  <c r="F67" i="21" s="1"/>
  <c r="O68" i="21" l="1"/>
  <c r="B69" i="21"/>
  <c r="P68" i="21"/>
  <c r="C69" i="21"/>
  <c r="G67" i="21"/>
  <c r="E68" i="21"/>
  <c r="F68" i="21" s="1"/>
  <c r="O69" i="21" l="1"/>
  <c r="P69" i="21"/>
  <c r="C70" i="21"/>
  <c r="B70" i="21"/>
  <c r="E69" i="21"/>
  <c r="F69" i="21" s="1"/>
  <c r="G69" i="21" s="1"/>
  <c r="G68" i="21"/>
  <c r="E70" i="21" l="1"/>
  <c r="F70" i="21" s="1"/>
  <c r="G70" i="21" s="1"/>
  <c r="P70" i="21"/>
  <c r="B71" i="21"/>
  <c r="O70" i="21"/>
  <c r="C71" i="21"/>
  <c r="E71" i="21" l="1"/>
  <c r="F71" i="21" s="1"/>
  <c r="G71" i="21" s="1"/>
  <c r="C72" i="21"/>
  <c r="B72" i="21"/>
  <c r="P71" i="21"/>
  <c r="O71" i="21"/>
  <c r="E72" i="21" l="1"/>
  <c r="F72" i="21" s="1"/>
  <c r="G72" i="21" s="1"/>
  <c r="O72" i="21"/>
  <c r="P72" i="21"/>
  <c r="C73" i="21"/>
  <c r="B73" i="21"/>
  <c r="E73" i="21" l="1"/>
  <c r="F73" i="21" s="1"/>
  <c r="G73" i="21" s="1"/>
  <c r="B74" i="21"/>
  <c r="C74" i="21"/>
  <c r="O73" i="21"/>
  <c r="P73" i="21"/>
  <c r="E74" i="21" l="1"/>
  <c r="F74" i="21" s="1"/>
  <c r="G74" i="21" s="1"/>
  <c r="O74" i="21"/>
  <c r="B75" i="21"/>
  <c r="P74" i="21"/>
  <c r="C75" i="21"/>
  <c r="E75" i="21" l="1"/>
  <c r="F75" i="21" s="1"/>
  <c r="G75" i="21" s="1"/>
  <c r="B76" i="21"/>
  <c r="O75" i="21"/>
  <c r="P75" i="21"/>
  <c r="C76" i="21"/>
  <c r="E76" i="21"/>
  <c r="F76" i="21" s="1"/>
  <c r="G76" i="21" s="1"/>
  <c r="C77" i="21" l="1"/>
  <c r="P76" i="21"/>
  <c r="O76" i="21"/>
  <c r="B77" i="21"/>
  <c r="E77" i="21"/>
  <c r="F77" i="21" s="1"/>
  <c r="G77" i="21" s="1"/>
  <c r="C78" i="21" l="1"/>
  <c r="B78" i="21"/>
  <c r="P77" i="21"/>
  <c r="O77" i="21"/>
  <c r="E78" i="21"/>
  <c r="F78" i="21" s="1"/>
  <c r="G78" i="21" s="1"/>
  <c r="E79" i="21" l="1"/>
  <c r="F79" i="21" s="1"/>
  <c r="G79" i="21" s="1"/>
  <c r="O78" i="21"/>
  <c r="P78" i="21"/>
  <c r="B79" i="21"/>
  <c r="C79" i="21"/>
  <c r="B80" i="21" l="1"/>
  <c r="P79" i="21"/>
  <c r="E80" i="21"/>
  <c r="F80" i="21" s="1"/>
  <c r="G80" i="21" s="1"/>
  <c r="O79" i="21"/>
  <c r="C80" i="21"/>
  <c r="E81" i="21" l="1"/>
  <c r="F81" i="21" s="1"/>
  <c r="G81" i="21" s="1"/>
  <c r="C81" i="21"/>
  <c r="O80" i="21"/>
  <c r="B81" i="21"/>
  <c r="P80" i="21"/>
  <c r="P81" i="21" l="1"/>
  <c r="B82" i="21"/>
  <c r="C82" i="21"/>
  <c r="O81" i="21"/>
  <c r="E82" i="21"/>
  <c r="F82" i="21" s="1"/>
  <c r="G82" i="21" s="1"/>
  <c r="C83" i="21" l="1"/>
  <c r="P82" i="21"/>
  <c r="O82" i="21"/>
  <c r="E83" i="21"/>
  <c r="F83" i="21" s="1"/>
  <c r="G83" i="21" s="1"/>
  <c r="B83" i="21"/>
  <c r="C84" i="21" l="1"/>
  <c r="E84" i="21"/>
  <c r="F84" i="21" s="1"/>
  <c r="G84" i="21" s="1"/>
  <c r="P83" i="21"/>
  <c r="O83" i="21"/>
  <c r="B84" i="21"/>
  <c r="E85" i="21" l="1"/>
  <c r="F85" i="21" s="1"/>
  <c r="G85" i="21" s="1"/>
  <c r="P84" i="21"/>
  <c r="O84" i="21"/>
  <c r="B85" i="21"/>
  <c r="C85" i="21"/>
  <c r="B86" i="21" l="1"/>
  <c r="C86" i="21"/>
  <c r="O85" i="21"/>
  <c r="E86" i="21"/>
  <c r="F86" i="21" s="1"/>
  <c r="G86" i="21" s="1"/>
  <c r="P85" i="21"/>
  <c r="B87" i="21" l="1"/>
  <c r="P86" i="21"/>
  <c r="O86" i="21"/>
  <c r="E87" i="21"/>
  <c r="F87" i="21" s="1"/>
  <c r="G87" i="21" s="1"/>
  <c r="C87" i="21"/>
  <c r="E88" i="21" l="1"/>
  <c r="F88" i="21" s="1"/>
  <c r="G88" i="21" s="1"/>
  <c r="O87" i="21"/>
  <c r="B88" i="21"/>
  <c r="C88" i="21"/>
  <c r="P87" i="21"/>
  <c r="C89" i="21" l="1"/>
  <c r="P88" i="21"/>
  <c r="O88" i="21"/>
  <c r="E89" i="21"/>
  <c r="F89" i="21" s="1"/>
  <c r="G89" i="21" s="1"/>
  <c r="B89" i="21"/>
  <c r="E90" i="21" l="1"/>
  <c r="F90" i="21" s="1"/>
  <c r="G90" i="21" s="1"/>
  <c r="O89" i="21"/>
  <c r="P89" i="21"/>
  <c r="B90" i="21"/>
  <c r="C90" i="21"/>
  <c r="E91" i="21" l="1"/>
  <c r="P90" i="21"/>
  <c r="F91" i="21"/>
  <c r="G91" i="21" s="1"/>
  <c r="O90" i="21"/>
  <c r="C91" i="21"/>
  <c r="B91" i="21"/>
  <c r="B92" i="21" l="1"/>
  <c r="O91" i="21"/>
  <c r="C92" i="21"/>
  <c r="P91" i="21"/>
  <c r="E92" i="21"/>
  <c r="F92" i="21" s="1"/>
  <c r="G92" i="21" s="1"/>
  <c r="C93" i="21" l="1"/>
  <c r="O92" i="21"/>
  <c r="E93" i="21"/>
  <c r="F93" i="21" s="1"/>
  <c r="G93" i="21" s="1"/>
  <c r="P92" i="21"/>
  <c r="B93" i="21"/>
  <c r="B94" i="21" l="1"/>
  <c r="P93" i="21"/>
  <c r="C94" i="21"/>
  <c r="E94" i="21"/>
  <c r="F94" i="21" s="1"/>
  <c r="G94" i="21" s="1"/>
  <c r="O93" i="21"/>
  <c r="P94" i="21" l="1"/>
  <c r="C95" i="21"/>
  <c r="E95" i="21"/>
  <c r="F95" i="21" s="1"/>
  <c r="G95" i="21" s="1"/>
  <c r="B95" i="21"/>
  <c r="O94" i="21"/>
  <c r="O95" i="21" l="1"/>
  <c r="B96" i="21"/>
  <c r="E96" i="21"/>
  <c r="F96" i="21" s="1"/>
  <c r="G96" i="21" s="1"/>
  <c r="P95" i="21"/>
  <c r="C96" i="21"/>
  <c r="E97" i="21" l="1"/>
  <c r="C97" i="21"/>
  <c r="B97" i="21"/>
  <c r="O96" i="21"/>
  <c r="F97" i="21"/>
  <c r="G97" i="21" s="1"/>
  <c r="P96" i="21"/>
  <c r="P97" i="21" l="1"/>
  <c r="E98" i="21"/>
  <c r="F98" i="21" s="1"/>
  <c r="G98" i="21" s="1"/>
  <c r="C98" i="21"/>
  <c r="O97" i="21"/>
  <c r="B98" i="21"/>
  <c r="B99" i="21" l="1"/>
  <c r="O98" i="21"/>
  <c r="E99" i="21"/>
  <c r="F99" i="21" s="1"/>
  <c r="G99" i="21" s="1"/>
  <c r="P98" i="21"/>
  <c r="C99" i="21"/>
  <c r="P99" i="21" l="1"/>
  <c r="C100" i="21"/>
  <c r="B100" i="21"/>
  <c r="E100" i="21"/>
  <c r="F100" i="21" s="1"/>
  <c r="G100" i="21" s="1"/>
  <c r="O99" i="21"/>
  <c r="E101" i="21" l="1"/>
  <c r="P100" i="21"/>
  <c r="B101" i="21"/>
  <c r="C101" i="21"/>
  <c r="F101" i="21"/>
  <c r="G101" i="21" s="1"/>
  <c r="O100" i="21"/>
  <c r="O101" i="21" l="1"/>
  <c r="E102" i="21"/>
  <c r="F102" i="21" s="1"/>
  <c r="G102" i="21" s="1"/>
  <c r="C102" i="21"/>
  <c r="B102" i="21"/>
  <c r="P101" i="21"/>
  <c r="C103" i="21" l="1"/>
  <c r="P102" i="21"/>
  <c r="E103" i="21"/>
  <c r="F103" i="21" s="1"/>
  <c r="G103" i="21" s="1"/>
  <c r="B103" i="21"/>
  <c r="O102" i="21"/>
  <c r="P103" i="21" l="1"/>
  <c r="B104" i="21"/>
  <c r="E104" i="21"/>
  <c r="F104" i="21" s="1"/>
  <c r="G104" i="21" s="1"/>
  <c r="C104" i="21"/>
  <c r="O103" i="21"/>
  <c r="C105" i="21" l="1"/>
  <c r="E105" i="21"/>
  <c r="O104" i="21"/>
  <c r="P104" i="21"/>
  <c r="B105" i="21"/>
  <c r="F105" i="21"/>
  <c r="G105" i="21" s="1"/>
  <c r="B106" i="21" l="1"/>
  <c r="E106" i="21"/>
  <c r="F106" i="21" s="1"/>
  <c r="G106" i="21" s="1"/>
  <c r="C106" i="21"/>
  <c r="P105" i="21"/>
  <c r="O105" i="21"/>
  <c r="C107" i="21" l="1"/>
  <c r="B107" i="21"/>
  <c r="P106" i="21"/>
  <c r="O106" i="21"/>
  <c r="E107" i="21"/>
  <c r="F107" i="21" s="1"/>
  <c r="G107" i="21" s="1"/>
  <c r="E108" i="21" l="1"/>
  <c r="F108" i="21" s="1"/>
  <c r="G108" i="21" s="1"/>
  <c r="C108" i="21"/>
  <c r="O107" i="21"/>
  <c r="P107" i="21"/>
  <c r="B108" i="21"/>
  <c r="P108" i="21" l="1"/>
  <c r="C109" i="21"/>
  <c r="O108" i="21"/>
  <c r="B109" i="21"/>
  <c r="E109" i="21"/>
  <c r="F109" i="21" s="1"/>
  <c r="G109" i="21" s="1"/>
  <c r="E110" i="21" l="1"/>
  <c r="F110" i="21"/>
  <c r="G110" i="21" s="1"/>
  <c r="P109" i="21"/>
  <c r="O109" i="21"/>
  <c r="B110" i="21"/>
  <c r="C110" i="21"/>
  <c r="C111" i="21" l="1"/>
  <c r="O110" i="21"/>
  <c r="E111" i="21"/>
  <c r="F111" i="21"/>
  <c r="G111" i="21" s="1"/>
  <c r="P110" i="21"/>
  <c r="B111" i="21"/>
  <c r="O111" i="21" l="1"/>
  <c r="P111" i="21"/>
  <c r="E112" i="21"/>
  <c r="F112" i="21" s="1"/>
  <c r="G112" i="21" s="1"/>
  <c r="B112" i="21"/>
  <c r="C112" i="21"/>
  <c r="B113" i="21" l="1"/>
  <c r="C113" i="21"/>
  <c r="P112" i="21"/>
  <c r="E113" i="21"/>
  <c r="F113" i="21" s="1"/>
  <c r="G113" i="21" s="1"/>
  <c r="O112" i="21"/>
  <c r="C114" i="21" l="1"/>
  <c r="P113" i="21"/>
  <c r="O113" i="21"/>
  <c r="E114" i="21"/>
  <c r="F114" i="21" s="1"/>
  <c r="G114" i="21" s="1"/>
  <c r="B114" i="21"/>
  <c r="E115" i="21" l="1"/>
  <c r="F115" i="21"/>
  <c r="G115" i="21" s="1"/>
  <c r="P114" i="21"/>
  <c r="B115" i="21"/>
  <c r="O114" i="21"/>
  <c r="C115" i="21"/>
  <c r="O115" i="21" l="1"/>
  <c r="B116" i="21"/>
  <c r="P115" i="21"/>
  <c r="C116" i="21"/>
  <c r="E116" i="21"/>
  <c r="F116" i="21" s="1"/>
  <c r="G116" i="21" s="1"/>
  <c r="B117" i="21" l="1"/>
  <c r="C117" i="21"/>
  <c r="P116" i="21"/>
  <c r="E117" i="21"/>
  <c r="F117" i="21"/>
  <c r="G117" i="21" s="1"/>
  <c r="O116" i="21"/>
  <c r="B118" i="21" l="1"/>
  <c r="P117" i="21"/>
  <c r="E118" i="21"/>
  <c r="F118" i="21" s="1"/>
  <c r="G118" i="21" s="1"/>
  <c r="C118" i="21"/>
  <c r="O117" i="21"/>
  <c r="O118" i="21" l="1"/>
  <c r="P118" i="21"/>
  <c r="E119" i="21"/>
  <c r="F119" i="21" s="1"/>
  <c r="G119" i="21" s="1"/>
  <c r="C119" i="21"/>
  <c r="B119" i="21"/>
  <c r="P119" i="21" l="1"/>
  <c r="B120" i="21"/>
  <c r="C120" i="21"/>
  <c r="O119" i="21"/>
  <c r="E120" i="21"/>
  <c r="F120" i="21" s="1"/>
  <c r="G120" i="21" s="1"/>
  <c r="E121" i="21" l="1"/>
  <c r="F121" i="21" s="1"/>
  <c r="G121" i="21" s="1"/>
  <c r="P120" i="21"/>
  <c r="O120" i="21"/>
  <c r="B121" i="21"/>
  <c r="C121" i="21"/>
  <c r="E122" i="21" l="1"/>
  <c r="F122" i="21" s="1"/>
  <c r="G122" i="21" s="1"/>
  <c r="C122" i="21"/>
  <c r="O121" i="21"/>
  <c r="B122" i="21"/>
  <c r="P121" i="21"/>
  <c r="B123" i="21" l="1"/>
  <c r="E123" i="21"/>
  <c r="F123" i="21" s="1"/>
  <c r="G123" i="21" s="1"/>
  <c r="P122" i="21"/>
  <c r="O122" i="21"/>
  <c r="C123" i="21"/>
  <c r="C124" i="21" l="1"/>
  <c r="P123" i="21"/>
  <c r="O123" i="21"/>
  <c r="E124" i="21"/>
  <c r="F124" i="21" s="1"/>
  <c r="G124" i="21" s="1"/>
  <c r="B124" i="21"/>
  <c r="P124" i="21" l="1"/>
  <c r="C125" i="21"/>
  <c r="O124" i="21"/>
  <c r="B125" i="21"/>
  <c r="E125" i="21"/>
  <c r="F125" i="21" s="1"/>
  <c r="G125" i="21" s="1"/>
  <c r="C126" i="21" l="1"/>
  <c r="E126" i="21"/>
  <c r="F126" i="21" s="1"/>
  <c r="G126" i="21" s="1"/>
  <c r="O125" i="21"/>
  <c r="P125" i="21"/>
  <c r="B126" i="21"/>
  <c r="C127" i="21" l="1"/>
  <c r="O126" i="21"/>
  <c r="P126" i="21"/>
  <c r="E127" i="21"/>
  <c r="F127" i="21" s="1"/>
  <c r="G127" i="21" s="1"/>
  <c r="B127" i="21"/>
  <c r="P127" i="21" l="1"/>
  <c r="C128" i="21"/>
  <c r="O127" i="21"/>
  <c r="E128" i="21"/>
  <c r="F128" i="21" s="1"/>
  <c r="G128" i="21" s="1"/>
  <c r="B128" i="21"/>
  <c r="C129" i="21" l="1"/>
  <c r="B129" i="21"/>
  <c r="P128" i="21"/>
  <c r="E129" i="21"/>
  <c r="O128" i="21"/>
  <c r="F129" i="21"/>
  <c r="G129" i="21" s="1"/>
  <c r="J130" i="21" l="1"/>
  <c r="G130" i="21"/>
  <c r="I130" i="21"/>
  <c r="C130" i="21"/>
  <c r="P129" i="21"/>
  <c r="B130" i="21"/>
  <c r="E130" i="21"/>
  <c r="K130" i="21"/>
  <c r="O129" i="21"/>
  <c r="F130" i="21"/>
  <c r="J131" i="21" l="1"/>
  <c r="B131" i="21"/>
  <c r="Q130" i="21"/>
  <c r="F131" i="21"/>
  <c r="P130" i="21"/>
  <c r="O130" i="21"/>
  <c r="G131" i="21"/>
  <c r="S130" i="21"/>
  <c r="V130" i="21"/>
  <c r="I131" i="21"/>
  <c r="K131" i="21"/>
  <c r="C131" i="21"/>
  <c r="E131" i="21"/>
  <c r="L130" i="21" l="1"/>
  <c r="U130" i="21"/>
  <c r="T130" i="21"/>
  <c r="M130" i="21"/>
  <c r="G132" i="21"/>
  <c r="B132" i="21"/>
  <c r="I132" i="21"/>
  <c r="J132" i="21"/>
  <c r="K132" i="21"/>
  <c r="C132" i="21"/>
  <c r="Q131" i="21"/>
  <c r="O131" i="21"/>
  <c r="S131" i="21"/>
  <c r="P131" i="21"/>
  <c r="E132" i="21"/>
  <c r="V131" i="21"/>
  <c r="F132" i="21"/>
  <c r="T131" i="21" l="1"/>
  <c r="U131" i="21"/>
  <c r="M131" i="21"/>
  <c r="L131" i="21"/>
  <c r="G133" i="21"/>
  <c r="E133" i="21"/>
  <c r="V132" i="21"/>
  <c r="B133" i="21"/>
  <c r="J133" i="21"/>
  <c r="Q132" i="21"/>
  <c r="C133" i="21"/>
  <c r="I133" i="21"/>
  <c r="K133" i="21"/>
  <c r="F133" i="21"/>
  <c r="S132" i="21"/>
  <c r="P132" i="21"/>
  <c r="O132" i="21"/>
  <c r="O133" i="21" l="1"/>
  <c r="Q133" i="21"/>
  <c r="S133" i="21"/>
  <c r="F134" i="21"/>
  <c r="G134" i="21"/>
  <c r="C134" i="21"/>
  <c r="B134" i="21"/>
  <c r="V133" i="21"/>
  <c r="P133" i="21"/>
  <c r="E134" i="21"/>
  <c r="I134" i="21"/>
  <c r="K134" i="21"/>
  <c r="J134" i="21"/>
  <c r="U132" i="21"/>
  <c r="T132" i="21"/>
  <c r="L132" i="21"/>
  <c r="M132" i="21"/>
  <c r="P134" i="21" l="1"/>
  <c r="J135" i="21"/>
  <c r="K135" i="21"/>
  <c r="C135" i="21"/>
  <c r="I135" i="21"/>
  <c r="O134" i="21"/>
  <c r="E135" i="21"/>
  <c r="Q134" i="21"/>
  <c r="F135" i="21"/>
  <c r="S134" i="21"/>
  <c r="B135" i="21"/>
  <c r="G135" i="21"/>
  <c r="V134" i="21"/>
  <c r="L133" i="21"/>
  <c r="M133" i="21"/>
  <c r="T133" i="21"/>
  <c r="U133" i="21"/>
  <c r="M134" i="21" l="1"/>
  <c r="T134" i="21"/>
  <c r="U134" i="21"/>
  <c r="L134" i="21"/>
  <c r="C136" i="21"/>
  <c r="B136" i="21"/>
  <c r="Q135" i="21"/>
  <c r="P135" i="21"/>
  <c r="V135" i="21"/>
  <c r="J136" i="21"/>
  <c r="K136" i="21"/>
  <c r="E136" i="21"/>
  <c r="F136" i="21"/>
  <c r="G136" i="21"/>
  <c r="S135" i="21"/>
  <c r="I136" i="21"/>
  <c r="O135" i="21"/>
  <c r="T135" i="21" l="1"/>
  <c r="U135" i="21"/>
  <c r="L135" i="21"/>
  <c r="M135" i="21"/>
  <c r="J137" i="21"/>
  <c r="E137" i="21"/>
  <c r="S136" i="21"/>
  <c r="O136" i="21"/>
  <c r="P136" i="21"/>
  <c r="K137" i="21"/>
  <c r="B137" i="21"/>
  <c r="Q136" i="21"/>
  <c r="I137" i="21"/>
  <c r="F137" i="21"/>
  <c r="V136" i="21"/>
  <c r="C137" i="21"/>
  <c r="G137" i="21"/>
  <c r="O137" i="21" l="1"/>
  <c r="E138" i="21"/>
  <c r="Q137" i="21"/>
  <c r="I138" i="21"/>
  <c r="F138" i="21"/>
  <c r="P137" i="21"/>
  <c r="S137" i="21"/>
  <c r="B138" i="21"/>
  <c r="J138" i="21"/>
  <c r="C138" i="21"/>
  <c r="G138" i="21"/>
  <c r="V137" i="21"/>
  <c r="K138" i="21"/>
  <c r="U136" i="21"/>
  <c r="L136" i="21"/>
  <c r="T136" i="21"/>
  <c r="M136" i="21"/>
  <c r="T137" i="21" l="1"/>
  <c r="U137" i="21"/>
  <c r="M137" i="21"/>
  <c r="L137" i="21"/>
  <c r="F139" i="21"/>
  <c r="J139" i="21"/>
  <c r="K139" i="21"/>
  <c r="S138" i="21"/>
  <c r="P138" i="21"/>
  <c r="G139" i="21"/>
  <c r="C139" i="21"/>
  <c r="V138" i="21"/>
  <c r="O138" i="21"/>
  <c r="E139" i="21"/>
  <c r="Q138" i="21"/>
  <c r="I139" i="21"/>
  <c r="B139" i="21"/>
  <c r="M138" i="21" l="1"/>
  <c r="U138" i="21"/>
  <c r="L138" i="21"/>
  <c r="T138" i="21"/>
  <c r="C140" i="21"/>
  <c r="J140" i="21"/>
  <c r="K140" i="21"/>
  <c r="B140" i="21"/>
  <c r="V139" i="21"/>
  <c r="O139" i="21"/>
  <c r="Q139" i="21"/>
  <c r="E140" i="21"/>
  <c r="G140" i="21"/>
  <c r="P139" i="21"/>
  <c r="I140" i="21"/>
  <c r="F140" i="21"/>
  <c r="S139" i="21"/>
  <c r="F141" i="21" l="1"/>
  <c r="J141" i="21"/>
  <c r="Q140" i="21"/>
  <c r="B141" i="21"/>
  <c r="C141" i="21"/>
  <c r="K141" i="21"/>
  <c r="O140" i="21"/>
  <c r="P140" i="21"/>
  <c r="I141" i="21"/>
  <c r="E141" i="21"/>
  <c r="V140" i="21"/>
  <c r="S140" i="21"/>
  <c r="G141" i="21"/>
  <c r="L139" i="21"/>
  <c r="M139" i="21"/>
  <c r="T139" i="21"/>
  <c r="U139" i="21"/>
  <c r="T140" i="21" l="1"/>
  <c r="L140" i="21"/>
  <c r="U140" i="21"/>
  <c r="M140" i="21"/>
  <c r="G142" i="21"/>
  <c r="F142" i="21"/>
  <c r="S141" i="21"/>
  <c r="I142" i="21"/>
  <c r="O141" i="21"/>
  <c r="B142" i="21"/>
  <c r="K142" i="21"/>
  <c r="J142" i="21"/>
  <c r="Q141" i="21"/>
  <c r="E142" i="21"/>
  <c r="V141" i="21"/>
  <c r="P141" i="21"/>
  <c r="C142" i="21"/>
  <c r="E143" i="21" l="1"/>
  <c r="O142" i="21"/>
  <c r="K143" i="21"/>
  <c r="G143" i="21"/>
  <c r="F143" i="21"/>
  <c r="Q142" i="21"/>
  <c r="V142" i="21"/>
  <c r="B143" i="21"/>
  <c r="C143" i="21"/>
  <c r="J143" i="21"/>
  <c r="I143" i="21"/>
  <c r="P142" i="21"/>
  <c r="S142" i="21"/>
  <c r="T141" i="21"/>
  <c r="L141" i="21"/>
  <c r="U141" i="21"/>
  <c r="M141" i="21"/>
  <c r="L142" i="21" l="1"/>
  <c r="U142" i="21"/>
  <c r="M142" i="21"/>
  <c r="T142" i="21"/>
  <c r="B144" i="21"/>
  <c r="C144" i="21"/>
  <c r="S143" i="21"/>
  <c r="O143" i="21"/>
  <c r="G144" i="21"/>
  <c r="Q143" i="21"/>
  <c r="I144" i="21"/>
  <c r="J144" i="21"/>
  <c r="K144" i="21"/>
  <c r="F144" i="21"/>
  <c r="V143" i="21"/>
  <c r="P143" i="21"/>
  <c r="E144" i="21"/>
  <c r="L143" i="21" l="1"/>
  <c r="T143" i="21"/>
  <c r="M143" i="21"/>
  <c r="U143" i="21"/>
  <c r="G145" i="21"/>
  <c r="F145" i="21"/>
  <c r="S144" i="21"/>
  <c r="I145" i="21"/>
  <c r="O144" i="21"/>
  <c r="C145" i="21"/>
  <c r="Q144" i="21"/>
  <c r="B145" i="21"/>
  <c r="P144" i="21"/>
  <c r="J145" i="21"/>
  <c r="K145" i="21"/>
  <c r="E145" i="21"/>
  <c r="V144" i="21"/>
  <c r="B146" i="21" l="1"/>
  <c r="O145" i="21"/>
  <c r="I146" i="21"/>
  <c r="P145" i="21"/>
  <c r="C146" i="21"/>
  <c r="Q145" i="21"/>
  <c r="S145" i="21"/>
  <c r="E146" i="21"/>
  <c r="G146" i="21"/>
  <c r="F146" i="21"/>
  <c r="K146" i="21"/>
  <c r="V145" i="21"/>
  <c r="J146" i="21"/>
  <c r="L144" i="21"/>
  <c r="M144" i="21"/>
  <c r="T144" i="21"/>
  <c r="U144" i="21"/>
  <c r="E147" i="21" l="1"/>
  <c r="C147" i="21"/>
  <c r="V146" i="21"/>
  <c r="Q146" i="21"/>
  <c r="G147" i="21"/>
  <c r="P146" i="21"/>
  <c r="I147" i="21"/>
  <c r="O146" i="21"/>
  <c r="K147" i="21"/>
  <c r="J147" i="21"/>
  <c r="S146" i="21"/>
  <c r="F147" i="21"/>
  <c r="B147" i="21"/>
  <c r="M145" i="21"/>
  <c r="T145" i="21"/>
  <c r="U145" i="21"/>
  <c r="L145" i="21"/>
  <c r="B148" i="21" l="1"/>
  <c r="E148" i="21"/>
  <c r="V147" i="21"/>
  <c r="J148" i="21"/>
  <c r="G148" i="21"/>
  <c r="I148" i="21"/>
  <c r="C148" i="21"/>
  <c r="F148" i="21"/>
  <c r="Q147" i="21"/>
  <c r="P147" i="21"/>
  <c r="K148" i="21"/>
  <c r="O147" i="21"/>
  <c r="S147" i="21"/>
  <c r="T146" i="21"/>
  <c r="M146" i="21"/>
  <c r="L146" i="21"/>
  <c r="U146" i="21"/>
  <c r="L147" i="21" l="1"/>
  <c r="T147" i="21"/>
  <c r="U147" i="21"/>
  <c r="M147" i="21"/>
  <c r="G149" i="21"/>
  <c r="O148" i="21"/>
  <c r="I149" i="21"/>
  <c r="F149" i="21"/>
  <c r="C149" i="21"/>
  <c r="V148" i="21"/>
  <c r="K149" i="21"/>
  <c r="P148" i="21"/>
  <c r="Q148" i="21"/>
  <c r="B149" i="21"/>
  <c r="S148" i="21"/>
  <c r="J149" i="21"/>
  <c r="E149" i="21"/>
  <c r="L148" i="21" l="1"/>
  <c r="M148" i="21"/>
  <c r="U148" i="21"/>
  <c r="T148" i="21"/>
  <c r="C150" i="21"/>
  <c r="B150" i="21"/>
  <c r="Q149" i="21"/>
  <c r="G150" i="21"/>
  <c r="F150" i="21"/>
  <c r="I150" i="21"/>
  <c r="V149" i="21"/>
  <c r="E150" i="21"/>
  <c r="S149" i="21"/>
  <c r="J150" i="21"/>
  <c r="K150" i="21"/>
  <c r="O149" i="21"/>
  <c r="P149" i="21"/>
  <c r="E151" i="21" l="1"/>
  <c r="P150" i="21"/>
  <c r="I151" i="21"/>
  <c r="J151" i="21"/>
  <c r="F151" i="21"/>
  <c r="K151" i="21"/>
  <c r="G151" i="21"/>
  <c r="S150" i="21"/>
  <c r="O150" i="21"/>
  <c r="V150" i="21"/>
  <c r="B151" i="21"/>
  <c r="C151" i="21"/>
  <c r="Q150" i="21"/>
  <c r="L149" i="21"/>
  <c r="T149" i="21"/>
  <c r="U149" i="21"/>
  <c r="M149" i="21"/>
  <c r="U150" i="21" l="1"/>
  <c r="M150" i="21"/>
  <c r="L150" i="21"/>
  <c r="T150" i="21"/>
  <c r="P151" i="21"/>
  <c r="C152" i="21"/>
  <c r="V151" i="21"/>
  <c r="Q151" i="21"/>
  <c r="F152" i="21"/>
  <c r="O151" i="21"/>
  <c r="I152" i="21"/>
  <c r="J152" i="21"/>
  <c r="E152" i="21"/>
  <c r="B152" i="21"/>
  <c r="K152" i="21"/>
  <c r="S151" i="21"/>
  <c r="G152" i="21"/>
  <c r="T151" i="21" l="1"/>
  <c r="U151" i="21"/>
  <c r="L151" i="21"/>
  <c r="M151" i="21"/>
  <c r="G153" i="21"/>
  <c r="F153" i="21"/>
  <c r="Q152" i="21"/>
  <c r="B153" i="21"/>
  <c r="J153" i="21"/>
  <c r="V152" i="21"/>
  <c r="S152" i="21"/>
  <c r="C153" i="21"/>
  <c r="I153" i="21"/>
  <c r="P152" i="21"/>
  <c r="K153" i="21"/>
  <c r="O152" i="21"/>
  <c r="E153" i="21"/>
  <c r="M152" i="21" l="1"/>
  <c r="T152" i="21"/>
  <c r="U152" i="21"/>
  <c r="L152" i="21"/>
  <c r="E154" i="21"/>
  <c r="C154" i="21"/>
  <c r="Q153" i="21"/>
  <c r="V153" i="21"/>
  <c r="G154" i="21"/>
  <c r="P153" i="21"/>
  <c r="I154" i="21"/>
  <c r="O153" i="21"/>
  <c r="S153" i="21"/>
  <c r="J154" i="21"/>
  <c r="K154" i="21"/>
  <c r="F154" i="21"/>
  <c r="B154" i="21"/>
  <c r="F155" i="21" l="1"/>
  <c r="P154" i="21"/>
  <c r="K155" i="21"/>
  <c r="J155" i="21"/>
  <c r="G155" i="21"/>
  <c r="Q154" i="21"/>
  <c r="V154" i="21"/>
  <c r="B155" i="21"/>
  <c r="O154" i="21"/>
  <c r="C155" i="21"/>
  <c r="I155" i="21"/>
  <c r="E155" i="21"/>
  <c r="S154" i="21"/>
  <c r="U153" i="21"/>
  <c r="L153" i="21"/>
  <c r="T153" i="21"/>
  <c r="M153" i="21"/>
  <c r="C156" i="21" l="1"/>
  <c r="F156" i="21"/>
  <c r="S155" i="21"/>
  <c r="G156" i="21"/>
  <c r="J156" i="21"/>
  <c r="V155" i="21"/>
  <c r="K156" i="21"/>
  <c r="O155" i="21"/>
  <c r="E156" i="21"/>
  <c r="B156" i="21"/>
  <c r="I156" i="21"/>
  <c r="Q155" i="21"/>
  <c r="P155" i="21"/>
  <c r="U154" i="21"/>
  <c r="M154" i="21"/>
  <c r="L154" i="21"/>
  <c r="T154" i="21"/>
  <c r="L155" i="21" l="1"/>
  <c r="M155" i="21"/>
  <c r="U155" i="21"/>
  <c r="T155" i="21"/>
  <c r="J157" i="21"/>
  <c r="G157" i="21"/>
  <c r="Q156" i="21"/>
  <c r="O156" i="21"/>
  <c r="C157" i="21"/>
  <c r="S156" i="21"/>
  <c r="E157" i="21"/>
  <c r="I157" i="21"/>
  <c r="F157" i="21"/>
  <c r="K157" i="21"/>
  <c r="B157" i="21"/>
  <c r="P156" i="21"/>
  <c r="V156" i="21"/>
  <c r="E158" i="21" l="1"/>
  <c r="C158" i="21"/>
  <c r="Q157" i="21"/>
  <c r="F158" i="21"/>
  <c r="B158" i="21"/>
  <c r="I158" i="21"/>
  <c r="G158" i="21"/>
  <c r="S157" i="21"/>
  <c r="O157" i="21"/>
  <c r="K158" i="21"/>
  <c r="P157" i="21"/>
  <c r="V157" i="21"/>
  <c r="J158" i="21"/>
  <c r="L156" i="21"/>
  <c r="M156" i="21"/>
  <c r="U156" i="21"/>
  <c r="T156" i="21"/>
  <c r="T157" i="21" l="1"/>
  <c r="U157" i="21"/>
  <c r="M157" i="21"/>
  <c r="L157" i="21"/>
  <c r="J159" i="21"/>
  <c r="F159" i="21"/>
  <c r="V158" i="21"/>
  <c r="Q158" i="21"/>
  <c r="C159" i="21"/>
  <c r="G159" i="21"/>
  <c r="I159" i="21"/>
  <c r="O158" i="21"/>
  <c r="S158" i="21"/>
  <c r="E159" i="21"/>
  <c r="K159" i="21"/>
  <c r="B159" i="21"/>
  <c r="P158" i="21"/>
  <c r="O159" i="21" l="1"/>
  <c r="G160" i="21"/>
  <c r="Q159" i="21"/>
  <c r="J160" i="21"/>
  <c r="C160" i="21"/>
  <c r="V159" i="21"/>
  <c r="K160" i="21"/>
  <c r="P159" i="21"/>
  <c r="E160" i="21"/>
  <c r="F160" i="21"/>
  <c r="I160" i="21"/>
  <c r="S159" i="21"/>
  <c r="B160" i="21"/>
  <c r="M158" i="21"/>
  <c r="T158" i="21"/>
  <c r="L158" i="21"/>
  <c r="U158" i="21"/>
  <c r="M159" i="21" l="1"/>
  <c r="U159" i="21"/>
  <c r="L159" i="21"/>
  <c r="T159" i="21"/>
  <c r="E161" i="21"/>
  <c r="O160" i="21"/>
  <c r="S160" i="21"/>
  <c r="F161" i="21"/>
  <c r="C161" i="21"/>
  <c r="K161" i="21"/>
  <c r="P160" i="21"/>
  <c r="V160" i="21"/>
  <c r="J161" i="21"/>
  <c r="I161" i="21"/>
  <c r="G161" i="21"/>
  <c r="Q160" i="21"/>
  <c r="B161" i="21"/>
  <c r="L160" i="21" l="1"/>
  <c r="T160" i="21"/>
  <c r="M160" i="21"/>
  <c r="U160" i="21"/>
  <c r="P161" i="21"/>
  <c r="G162" i="21"/>
  <c r="I162" i="21"/>
  <c r="O161" i="21"/>
  <c r="B162" i="21"/>
  <c r="Q161" i="21"/>
  <c r="C162" i="21"/>
  <c r="J162" i="21"/>
  <c r="V161" i="21"/>
  <c r="E162" i="21"/>
  <c r="S161" i="21"/>
  <c r="K162" i="21"/>
  <c r="F162" i="21"/>
  <c r="L161" i="21" l="1"/>
  <c r="T161" i="21"/>
  <c r="M161" i="21"/>
  <c r="U161" i="21"/>
  <c r="E163" i="21"/>
  <c r="F163" i="21"/>
  <c r="Q162" i="21"/>
  <c r="I163" i="21"/>
  <c r="J163" i="21"/>
  <c r="G163" i="21"/>
  <c r="K163" i="21"/>
  <c r="P162" i="21"/>
  <c r="O162" i="21"/>
  <c r="C163" i="21"/>
  <c r="S162" i="21"/>
  <c r="B163" i="21"/>
  <c r="V162" i="21"/>
  <c r="B164" i="21" l="1"/>
  <c r="P163" i="21"/>
  <c r="V163" i="21"/>
  <c r="S163" i="21"/>
  <c r="O163" i="21"/>
  <c r="E164" i="21"/>
  <c r="I164" i="21"/>
  <c r="F164" i="21"/>
  <c r="G164" i="21"/>
  <c r="C164" i="21"/>
  <c r="Q163" i="21"/>
  <c r="K164" i="21"/>
  <c r="J164" i="21"/>
  <c r="T162" i="21"/>
  <c r="U162" i="21"/>
  <c r="L162" i="21"/>
  <c r="M162" i="21"/>
  <c r="T163" i="21" l="1"/>
  <c r="U163" i="21"/>
  <c r="M163" i="21"/>
  <c r="L163" i="21"/>
  <c r="P164" i="21"/>
  <c r="E165" i="21"/>
  <c r="V164" i="21"/>
  <c r="G165" i="21"/>
  <c r="B165" i="21"/>
  <c r="I165" i="21"/>
  <c r="S164" i="21"/>
  <c r="O164" i="21"/>
  <c r="Q164" i="21"/>
  <c r="C165" i="21"/>
  <c r="K165" i="21"/>
  <c r="F165" i="21"/>
  <c r="J165" i="21"/>
  <c r="U164" i="21" l="1"/>
  <c r="T164" i="21"/>
  <c r="L164" i="21"/>
  <c r="M164" i="21"/>
  <c r="F166" i="21"/>
  <c r="O165" i="21"/>
  <c r="K166" i="21"/>
  <c r="P165" i="21"/>
  <c r="G166" i="21"/>
  <c r="Q165" i="21"/>
  <c r="V165" i="21"/>
  <c r="B166" i="21"/>
  <c r="C166" i="21"/>
  <c r="J166" i="21"/>
  <c r="S165" i="21"/>
  <c r="I166" i="21"/>
  <c r="E166" i="21"/>
  <c r="P166" i="21" l="1"/>
  <c r="G167" i="21"/>
  <c r="Q166" i="21"/>
  <c r="K167" i="21"/>
  <c r="B167" i="21"/>
  <c r="F167" i="21"/>
  <c r="V166" i="21"/>
  <c r="C167" i="21"/>
  <c r="J167" i="21"/>
  <c r="O166" i="21"/>
  <c r="I167" i="21"/>
  <c r="E167" i="21"/>
  <c r="S166" i="21"/>
  <c r="L165" i="21"/>
  <c r="U165" i="21"/>
  <c r="M165" i="21"/>
  <c r="T165" i="21"/>
  <c r="M166" i="21" l="1"/>
  <c r="U166" i="21"/>
  <c r="T166" i="21"/>
  <c r="L166" i="21"/>
  <c r="J168" i="21"/>
  <c r="F168" i="21"/>
  <c r="Q167" i="21"/>
  <c r="O167" i="21"/>
  <c r="B168" i="21"/>
  <c r="K168" i="21"/>
  <c r="C168" i="21"/>
  <c r="V167" i="21"/>
  <c r="G168" i="21"/>
  <c r="I168" i="21"/>
  <c r="P167" i="21"/>
  <c r="S167" i="21"/>
  <c r="E168" i="21"/>
  <c r="L167" i="21" l="1"/>
  <c r="U167" i="21"/>
  <c r="T167" i="21"/>
  <c r="M167" i="21"/>
  <c r="G169" i="21"/>
  <c r="F169" i="21"/>
  <c r="K169" i="21"/>
  <c r="C169" i="21"/>
  <c r="J169" i="21"/>
  <c r="Q168" i="21"/>
  <c r="P168" i="21"/>
  <c r="I169" i="21"/>
  <c r="O168" i="21"/>
  <c r="V168" i="21"/>
  <c r="B169" i="21"/>
  <c r="S168" i="21"/>
  <c r="E169" i="21"/>
  <c r="M168" i="21" l="1"/>
  <c r="T168" i="21"/>
  <c r="L168" i="21"/>
  <c r="U168" i="21"/>
  <c r="E170" i="21"/>
  <c r="P169" i="21"/>
  <c r="I170" i="21"/>
  <c r="F170" i="21"/>
  <c r="J170" i="21"/>
  <c r="K170" i="21"/>
  <c r="G170" i="21"/>
  <c r="V169" i="21"/>
  <c r="C170" i="21"/>
  <c r="B170" i="21"/>
  <c r="S169" i="21"/>
  <c r="O169" i="21"/>
  <c r="Q169" i="21"/>
  <c r="U169" i="21" l="1"/>
  <c r="T169" i="21"/>
  <c r="L169" i="21"/>
  <c r="M169" i="21"/>
  <c r="O170" i="21"/>
  <c r="E171" i="21"/>
  <c r="S170" i="21"/>
  <c r="F171" i="21"/>
  <c r="B171" i="21"/>
  <c r="K171" i="21"/>
  <c r="I171" i="21"/>
  <c r="C171" i="21"/>
  <c r="Q170" i="21"/>
  <c r="P170" i="21"/>
  <c r="V170" i="21"/>
  <c r="J171" i="21"/>
  <c r="G171" i="21"/>
  <c r="T170" i="21" l="1"/>
  <c r="M170" i="21"/>
  <c r="U170" i="21"/>
  <c r="L170" i="21"/>
  <c r="P171" i="21"/>
  <c r="B172" i="21"/>
  <c r="I172" i="21"/>
  <c r="Q171" i="21"/>
  <c r="E172" i="21"/>
  <c r="O171" i="21"/>
  <c r="S171" i="21"/>
  <c r="F172" i="21"/>
  <c r="K172" i="21"/>
  <c r="G172" i="21"/>
  <c r="V171" i="21"/>
  <c r="C172" i="21"/>
  <c r="J172" i="21"/>
  <c r="T171" i="21" l="1"/>
  <c r="U171" i="21"/>
  <c r="L171" i="21"/>
  <c r="M171" i="21"/>
  <c r="B173" i="21"/>
  <c r="J173" i="21"/>
  <c r="Q172" i="21"/>
  <c r="S172" i="21"/>
  <c r="P172" i="21"/>
  <c r="E173" i="21"/>
  <c r="V172" i="21"/>
  <c r="C173" i="21"/>
  <c r="I173" i="21"/>
  <c r="O172" i="21"/>
  <c r="K173" i="21"/>
  <c r="F173" i="21"/>
  <c r="G173" i="21"/>
  <c r="M172" i="21" l="1"/>
  <c r="L172" i="21"/>
  <c r="T172" i="21"/>
  <c r="U172" i="21"/>
  <c r="P173" i="21"/>
  <c r="B174" i="21"/>
  <c r="K174" i="21"/>
  <c r="G174" i="21"/>
  <c r="E174" i="21"/>
  <c r="V173" i="21"/>
  <c r="S173" i="21"/>
  <c r="F174" i="21"/>
  <c r="J174" i="21"/>
  <c r="O173" i="21"/>
  <c r="Q173" i="21"/>
  <c r="C174" i="21"/>
  <c r="I174" i="21"/>
  <c r="T173" i="21" l="1"/>
  <c r="L173" i="21"/>
  <c r="U173" i="21"/>
  <c r="M173" i="21"/>
  <c r="C175" i="21"/>
  <c r="E175" i="21"/>
  <c r="Q174" i="21"/>
  <c r="F175" i="21"/>
  <c r="O174" i="21"/>
  <c r="V174" i="21"/>
  <c r="S174" i="21"/>
  <c r="G175" i="21"/>
  <c r="P174" i="21"/>
  <c r="J175" i="21"/>
  <c r="I175" i="21"/>
  <c r="K175" i="21"/>
  <c r="B175" i="21"/>
  <c r="T174" i="21" l="1"/>
  <c r="M174" i="21"/>
  <c r="L174" i="21"/>
  <c r="U174" i="21"/>
  <c r="P175" i="21"/>
  <c r="C176" i="21"/>
  <c r="Q175" i="21"/>
  <c r="V175" i="21"/>
  <c r="E176" i="21"/>
  <c r="O175" i="21"/>
  <c r="I176" i="21"/>
  <c r="J176" i="21"/>
  <c r="S175" i="21"/>
  <c r="B176" i="21"/>
  <c r="K176" i="21"/>
  <c r="F176" i="21"/>
  <c r="G176" i="21"/>
  <c r="J177" i="21" l="1"/>
  <c r="G177" i="21"/>
  <c r="S176" i="21"/>
  <c r="B177" i="21"/>
  <c r="O176" i="21"/>
  <c r="Q176" i="21"/>
  <c r="I177" i="21"/>
  <c r="E177" i="21"/>
  <c r="F177" i="21"/>
  <c r="P176" i="21"/>
  <c r="K177" i="21"/>
  <c r="V176" i="21"/>
  <c r="C177" i="21"/>
  <c r="M175" i="21"/>
  <c r="L175" i="21"/>
  <c r="T175" i="21"/>
  <c r="U175" i="21"/>
  <c r="O177" i="21" l="1"/>
  <c r="F178" i="21"/>
  <c r="Q177" i="21"/>
  <c r="C178" i="21"/>
  <c r="P177" i="21"/>
  <c r="S177" i="21"/>
  <c r="B178" i="21"/>
  <c r="V177" i="21"/>
  <c r="E178" i="21"/>
  <c r="I178" i="21"/>
  <c r="J178" i="21"/>
  <c r="G178" i="21"/>
  <c r="K178" i="21"/>
  <c r="U176" i="21"/>
  <c r="L176" i="21"/>
  <c r="M176" i="21"/>
  <c r="T176" i="21"/>
  <c r="F179" i="21" l="1"/>
  <c r="C179" i="21"/>
  <c r="S178" i="21"/>
  <c r="E179" i="21"/>
  <c r="B179" i="21"/>
  <c r="V178" i="21"/>
  <c r="K179" i="21"/>
  <c r="G179" i="21"/>
  <c r="O178" i="21"/>
  <c r="J179" i="21"/>
  <c r="Q178" i="21"/>
  <c r="I179" i="21"/>
  <c r="P178" i="21"/>
  <c r="L177" i="21"/>
  <c r="M177" i="21"/>
  <c r="T177" i="21"/>
  <c r="U177" i="21"/>
  <c r="L178" i="21" l="1"/>
  <c r="T178" i="21"/>
  <c r="U178" i="21"/>
  <c r="M178" i="21"/>
  <c r="E180" i="21"/>
  <c r="O179" i="21"/>
  <c r="S179" i="21"/>
  <c r="F180" i="21"/>
  <c r="C180" i="21"/>
  <c r="I180" i="21"/>
  <c r="G180" i="21"/>
  <c r="Q179" i="21"/>
  <c r="B180" i="21"/>
  <c r="P179" i="21"/>
  <c r="K180" i="21"/>
  <c r="J180" i="21"/>
  <c r="V179" i="21"/>
  <c r="M179" i="21" l="1"/>
  <c r="U179" i="21"/>
  <c r="L179" i="21"/>
  <c r="T179" i="21"/>
  <c r="B181" i="21"/>
  <c r="P180" i="21"/>
  <c r="Q180" i="21"/>
  <c r="J181" i="21"/>
  <c r="C181" i="21"/>
  <c r="S180" i="21"/>
  <c r="F181" i="21"/>
  <c r="I181" i="21"/>
  <c r="O180" i="21"/>
  <c r="E181" i="21"/>
  <c r="K181" i="21"/>
  <c r="V180" i="21"/>
  <c r="G181" i="21"/>
  <c r="L180" i="21" l="1"/>
  <c r="T180" i="21"/>
  <c r="M180" i="21"/>
  <c r="U180" i="21"/>
  <c r="G182" i="21"/>
  <c r="B182" i="21"/>
  <c r="K182" i="21"/>
  <c r="C182" i="21"/>
  <c r="O181" i="21"/>
  <c r="V181" i="21"/>
  <c r="E182" i="21"/>
  <c r="S181" i="21"/>
  <c r="P181" i="21"/>
  <c r="J182" i="21"/>
  <c r="Q181" i="21"/>
  <c r="F182" i="21"/>
  <c r="I182" i="21"/>
  <c r="E183" i="21" l="1"/>
  <c r="G183" i="21"/>
  <c r="Q182" i="21"/>
  <c r="F183" i="21"/>
  <c r="J183" i="21"/>
  <c r="V182" i="21"/>
  <c r="P182" i="21"/>
  <c r="O182" i="21"/>
  <c r="S182" i="21"/>
  <c r="C183" i="21"/>
  <c r="I183" i="21"/>
  <c r="K183" i="21"/>
  <c r="B183" i="21"/>
  <c r="T181" i="21"/>
  <c r="U181" i="21"/>
  <c r="L181" i="21"/>
  <c r="M181" i="21"/>
  <c r="J184" i="21" l="1"/>
  <c r="G184" i="21"/>
  <c r="S183" i="21"/>
  <c r="O183" i="21"/>
  <c r="C184" i="21"/>
  <c r="V183" i="21"/>
  <c r="K184" i="21"/>
  <c r="E184" i="21"/>
  <c r="Q183" i="21"/>
  <c r="F184" i="21"/>
  <c r="I184" i="21"/>
  <c r="P183" i="21"/>
  <c r="B184" i="21"/>
  <c r="L182" i="21"/>
  <c r="U182" i="21"/>
  <c r="T182" i="21"/>
  <c r="M182" i="21"/>
  <c r="L183" i="21" l="1"/>
  <c r="T183" i="21"/>
  <c r="M183" i="21"/>
  <c r="U183" i="21"/>
  <c r="C185" i="21"/>
  <c r="P184" i="21"/>
  <c r="K185" i="21"/>
  <c r="E185" i="21"/>
  <c r="B185" i="21"/>
  <c r="V184" i="21"/>
  <c r="F185" i="21"/>
  <c r="I185" i="21"/>
  <c r="G185" i="21"/>
  <c r="S184" i="21"/>
  <c r="J185" i="21"/>
  <c r="Q184" i="21"/>
  <c r="O184" i="21"/>
  <c r="L184" i="21" l="1"/>
  <c r="T184" i="21"/>
  <c r="U184" i="21"/>
  <c r="M184" i="21"/>
  <c r="O185" i="21"/>
  <c r="J186" i="21"/>
  <c r="S185" i="21"/>
  <c r="E186" i="21"/>
  <c r="C186" i="21"/>
  <c r="K186" i="21"/>
  <c r="F186" i="21"/>
  <c r="Q185" i="21"/>
  <c r="G186" i="21"/>
  <c r="I186" i="21"/>
  <c r="B186" i="21"/>
  <c r="V185" i="21"/>
  <c r="P185" i="21"/>
  <c r="S70" i="21" l="1"/>
  <c r="J70" i="21"/>
  <c r="V70" i="21"/>
  <c r="B187" i="21"/>
  <c r="O186" i="21"/>
  <c r="K187" i="21"/>
  <c r="E187" i="21"/>
  <c r="C187" i="21"/>
  <c r="Q186" i="21"/>
  <c r="F187" i="21"/>
  <c r="S186" i="21"/>
  <c r="G187" i="21"/>
  <c r="I187" i="21"/>
  <c r="P186" i="21"/>
  <c r="V186" i="21"/>
  <c r="J187" i="21"/>
  <c r="M185" i="21"/>
  <c r="T185" i="21"/>
  <c r="L185" i="21"/>
  <c r="U185" i="21"/>
  <c r="I71" i="21" l="1"/>
  <c r="M70" i="21"/>
  <c r="T70" i="21"/>
  <c r="Q70" i="21" s="1"/>
  <c r="L70" i="21"/>
  <c r="U186" i="21"/>
  <c r="M186" i="21"/>
  <c r="T186" i="21"/>
  <c r="L186" i="21"/>
  <c r="G188" i="21"/>
  <c r="C188" i="21"/>
  <c r="B188" i="21"/>
  <c r="O187" i="21"/>
  <c r="Q187" i="21"/>
  <c r="K188" i="21"/>
  <c r="P187" i="21"/>
  <c r="J188" i="21"/>
  <c r="V187" i="21"/>
  <c r="E188" i="21"/>
  <c r="S187" i="21"/>
  <c r="F188" i="21"/>
  <c r="I188" i="21"/>
  <c r="U70" i="21" l="1"/>
  <c r="S71" i="21"/>
  <c r="K71" i="21"/>
  <c r="M187" i="21"/>
  <c r="U187" i="21"/>
  <c r="L187" i="21"/>
  <c r="T187" i="21"/>
  <c r="C189" i="21"/>
  <c r="J189" i="21"/>
  <c r="S188" i="21"/>
  <c r="E189" i="21"/>
  <c r="B189" i="21"/>
  <c r="I189" i="21"/>
  <c r="F189" i="21"/>
  <c r="O188" i="21"/>
  <c r="K189" i="21"/>
  <c r="V188" i="21"/>
  <c r="G189" i="21"/>
  <c r="P188" i="21"/>
  <c r="Q188" i="21"/>
  <c r="J71" i="21" l="1"/>
  <c r="M71" i="21" s="1"/>
  <c r="V71" i="21"/>
  <c r="M188" i="21"/>
  <c r="T188" i="21"/>
  <c r="U188" i="21"/>
  <c r="L188" i="21"/>
  <c r="B190" i="21"/>
  <c r="P189" i="21"/>
  <c r="K190" i="21"/>
  <c r="C190" i="21"/>
  <c r="F190" i="21"/>
  <c r="V189" i="21"/>
  <c r="O189" i="21"/>
  <c r="J190" i="21"/>
  <c r="I190" i="21"/>
  <c r="Q189" i="21"/>
  <c r="E190" i="21"/>
  <c r="G190" i="21"/>
  <c r="S189" i="21"/>
  <c r="L71" i="21" l="1"/>
  <c r="T71" i="21"/>
  <c r="U71" i="21" s="1"/>
  <c r="I72" i="21"/>
  <c r="U189" i="21"/>
  <c r="T189" i="21"/>
  <c r="M189" i="21"/>
  <c r="L189" i="21"/>
  <c r="E191" i="21"/>
  <c r="B191" i="21"/>
  <c r="Q190" i="21"/>
  <c r="F191" i="21"/>
  <c r="O190" i="21"/>
  <c r="V190" i="21"/>
  <c r="G191" i="21"/>
  <c r="P190" i="21"/>
  <c r="I191" i="21"/>
  <c r="J191" i="21"/>
  <c r="C191" i="21"/>
  <c r="S190" i="21"/>
  <c r="K191" i="21"/>
  <c r="Q71" i="21" l="1"/>
  <c r="S72" i="21"/>
  <c r="K72" i="21"/>
  <c r="T190" i="21"/>
  <c r="U190" i="21"/>
  <c r="M190" i="21"/>
  <c r="L190" i="21"/>
  <c r="C192" i="21"/>
  <c r="F192" i="21"/>
  <c r="S191" i="21"/>
  <c r="K192" i="21"/>
  <c r="O191" i="21"/>
  <c r="G192" i="21"/>
  <c r="Q191" i="21"/>
  <c r="B192" i="21"/>
  <c r="J192" i="21"/>
  <c r="V191" i="21"/>
  <c r="P191" i="21"/>
  <c r="I192" i="21"/>
  <c r="E192" i="21"/>
  <c r="J72" i="21" l="1"/>
  <c r="L72" i="21" s="1"/>
  <c r="V72" i="21"/>
  <c r="U191" i="21"/>
  <c r="M191" i="21"/>
  <c r="T191" i="21"/>
  <c r="L191" i="21"/>
  <c r="O192" i="21"/>
  <c r="F193" i="21"/>
  <c r="I193" i="21"/>
  <c r="B193" i="21"/>
  <c r="P192" i="21"/>
  <c r="S192" i="21"/>
  <c r="K193" i="21"/>
  <c r="C193" i="21"/>
  <c r="E193" i="21"/>
  <c r="V192" i="21"/>
  <c r="G193" i="21"/>
  <c r="Q192" i="21"/>
  <c r="J193" i="21"/>
  <c r="M72" i="21" l="1"/>
  <c r="T72" i="21"/>
  <c r="I73" i="21"/>
  <c r="F194" i="21"/>
  <c r="C194" i="21"/>
  <c r="S193" i="21"/>
  <c r="G194" i="21"/>
  <c r="B194" i="21"/>
  <c r="V193" i="21"/>
  <c r="E194" i="21"/>
  <c r="P193" i="21"/>
  <c r="K194" i="21"/>
  <c r="I194" i="21"/>
  <c r="J194" i="21"/>
  <c r="O193" i="21"/>
  <c r="Q193" i="21"/>
  <c r="M192" i="21"/>
  <c r="L192" i="21"/>
  <c r="U192" i="21"/>
  <c r="T192" i="21"/>
  <c r="K73" i="21" l="1"/>
  <c r="U72" i="21"/>
  <c r="S73" i="21"/>
  <c r="Q72" i="21"/>
  <c r="T193" i="21"/>
  <c r="U193" i="21"/>
  <c r="M193" i="21"/>
  <c r="L193" i="21"/>
  <c r="F195" i="21"/>
  <c r="O194" i="21"/>
  <c r="S194" i="21"/>
  <c r="Q194" i="21"/>
  <c r="G195" i="21"/>
  <c r="J195" i="21"/>
  <c r="K195" i="21"/>
  <c r="P194" i="21"/>
  <c r="B195" i="21"/>
  <c r="V194" i="21"/>
  <c r="E195" i="21"/>
  <c r="C195" i="21"/>
  <c r="I195" i="21"/>
  <c r="J73" i="21" l="1"/>
  <c r="V73" i="21"/>
  <c r="T194" i="21"/>
  <c r="U194" i="21"/>
  <c r="L194" i="21"/>
  <c r="M194" i="21"/>
  <c r="G196" i="21"/>
  <c r="B196" i="21"/>
  <c r="I196" i="21"/>
  <c r="C196" i="21"/>
  <c r="J196" i="21"/>
  <c r="S195" i="21"/>
  <c r="E196" i="21"/>
  <c r="P195" i="21"/>
  <c r="K196" i="21"/>
  <c r="O195" i="21"/>
  <c r="V195" i="21"/>
  <c r="F196" i="21"/>
  <c r="Q195" i="21"/>
  <c r="I74" i="21" l="1"/>
  <c r="T73" i="21"/>
  <c r="L73" i="21"/>
  <c r="M73" i="21"/>
  <c r="T195" i="21"/>
  <c r="M195" i="21"/>
  <c r="L195" i="21"/>
  <c r="U195" i="21"/>
  <c r="P196" i="21"/>
  <c r="B197" i="21"/>
  <c r="I197" i="21"/>
  <c r="V196" i="21"/>
  <c r="C197" i="21"/>
  <c r="F197" i="21"/>
  <c r="K197" i="21"/>
  <c r="E197" i="21"/>
  <c r="G197" i="21"/>
  <c r="Q196" i="21"/>
  <c r="O196" i="21"/>
  <c r="J197" i="21"/>
  <c r="S196" i="21"/>
  <c r="S74" i="21" l="1"/>
  <c r="U73" i="21"/>
  <c r="K74" i="21"/>
  <c r="Q73" i="21"/>
  <c r="B198" i="21"/>
  <c r="E198" i="21"/>
  <c r="Q197" i="21"/>
  <c r="J198" i="21"/>
  <c r="F198" i="21"/>
  <c r="K198" i="21"/>
  <c r="C198" i="21"/>
  <c r="O197" i="21"/>
  <c r="V197" i="21"/>
  <c r="G198" i="21"/>
  <c r="S197" i="21"/>
  <c r="P197" i="21"/>
  <c r="I198" i="21"/>
  <c r="T196" i="21"/>
  <c r="M196" i="21"/>
  <c r="U196" i="21"/>
  <c r="L196" i="21"/>
  <c r="J74" i="21" l="1"/>
  <c r="L74" i="21" s="1"/>
  <c r="V74" i="21"/>
  <c r="L197" i="21"/>
  <c r="U197" i="21"/>
  <c r="T197" i="21"/>
  <c r="M197" i="21"/>
  <c r="G199" i="21"/>
  <c r="C199" i="21"/>
  <c r="V198" i="21"/>
  <c r="J199" i="21"/>
  <c r="O198" i="21"/>
  <c r="I199" i="21"/>
  <c r="P198" i="21"/>
  <c r="B199" i="21"/>
  <c r="K199" i="21"/>
  <c r="E199" i="21"/>
  <c r="S198" i="21"/>
  <c r="F199" i="21"/>
  <c r="Q198" i="21"/>
  <c r="T74" i="21" l="1"/>
  <c r="U74" i="21" s="1"/>
  <c r="M74" i="21"/>
  <c r="I75" i="21"/>
  <c r="F200" i="21"/>
  <c r="G200" i="21"/>
  <c r="J200" i="21"/>
  <c r="B200" i="21"/>
  <c r="C200" i="21"/>
  <c r="S199" i="21"/>
  <c r="O199" i="21"/>
  <c r="K200" i="21"/>
  <c r="V199" i="21"/>
  <c r="P199" i="21"/>
  <c r="Q199" i="21"/>
  <c r="E200" i="21"/>
  <c r="I200" i="21"/>
  <c r="U198" i="21"/>
  <c r="M198" i="21"/>
  <c r="L198" i="21"/>
  <c r="T198" i="21"/>
  <c r="Q74" i="21" l="1"/>
  <c r="S75" i="21"/>
  <c r="K75" i="21"/>
  <c r="J201" i="21"/>
  <c r="O200" i="21"/>
  <c r="S200" i="21"/>
  <c r="Q200" i="21"/>
  <c r="E201" i="21"/>
  <c r="C201" i="21"/>
  <c r="K201" i="21"/>
  <c r="F201" i="21"/>
  <c r="P200" i="21"/>
  <c r="I201" i="21"/>
  <c r="B201" i="21"/>
  <c r="G201" i="21"/>
  <c r="V200" i="21"/>
  <c r="M199" i="21"/>
  <c r="U199" i="21"/>
  <c r="L199" i="21"/>
  <c r="T199" i="21"/>
  <c r="J75" i="21" l="1"/>
  <c r="V75" i="21"/>
  <c r="E202" i="21"/>
  <c r="B202" i="21"/>
  <c r="Q201" i="21"/>
  <c r="F202" i="21"/>
  <c r="P201" i="21"/>
  <c r="K202" i="21"/>
  <c r="J202" i="21"/>
  <c r="C202" i="21"/>
  <c r="S201" i="21"/>
  <c r="I202" i="21"/>
  <c r="G202" i="21"/>
  <c r="V201" i="21"/>
  <c r="O201" i="21"/>
  <c r="M200" i="21"/>
  <c r="L200" i="21"/>
  <c r="T200" i="21"/>
  <c r="U200" i="21"/>
  <c r="I76" i="21" l="1"/>
  <c r="T75" i="21"/>
  <c r="L75" i="21"/>
  <c r="M75" i="21"/>
  <c r="O202" i="21"/>
  <c r="E203" i="21"/>
  <c r="I203" i="21"/>
  <c r="K203" i="21"/>
  <c r="C203" i="21"/>
  <c r="F203" i="21"/>
  <c r="Q202" i="21"/>
  <c r="B203" i="21"/>
  <c r="P202" i="21"/>
  <c r="S202" i="21"/>
  <c r="J203" i="21"/>
  <c r="V202" i="21"/>
  <c r="G203" i="21"/>
  <c r="U201" i="21"/>
  <c r="L201" i="21"/>
  <c r="T201" i="21"/>
  <c r="M201" i="21"/>
  <c r="S76" i="21" l="1"/>
  <c r="U75" i="21"/>
  <c r="K76" i="21"/>
  <c r="Q75" i="21"/>
  <c r="O203" i="21"/>
  <c r="K204" i="21"/>
  <c r="V203" i="21"/>
  <c r="B204" i="21"/>
  <c r="E204" i="21"/>
  <c r="Q203" i="21"/>
  <c r="I204" i="21"/>
  <c r="C204" i="21"/>
  <c r="J204" i="21"/>
  <c r="S203" i="21"/>
  <c r="F204" i="21"/>
  <c r="P203" i="21"/>
  <c r="G204" i="21"/>
  <c r="U202" i="21"/>
  <c r="T202" i="21"/>
  <c r="M202" i="21"/>
  <c r="L202" i="21"/>
  <c r="J76" i="21" l="1"/>
  <c r="L76" i="21" s="1"/>
  <c r="V76" i="21"/>
  <c r="J205" i="21"/>
  <c r="B205" i="21"/>
  <c r="V204" i="21"/>
  <c r="G205" i="21"/>
  <c r="E205" i="21"/>
  <c r="K205" i="21"/>
  <c r="C205" i="21"/>
  <c r="P204" i="21"/>
  <c r="Q204" i="21"/>
  <c r="S204" i="21"/>
  <c r="I205" i="21"/>
  <c r="O204" i="21"/>
  <c r="F205" i="21"/>
  <c r="L203" i="21"/>
  <c r="U203" i="21"/>
  <c r="T203" i="21"/>
  <c r="M203" i="21"/>
  <c r="M76" i="21" l="1"/>
  <c r="T76" i="21"/>
  <c r="Q76" i="21" s="1"/>
  <c r="I77" i="21"/>
  <c r="T204" i="21"/>
  <c r="L204" i="21"/>
  <c r="M204" i="21"/>
  <c r="U204" i="21"/>
  <c r="O205" i="21"/>
  <c r="G206" i="21"/>
  <c r="S205" i="21"/>
  <c r="Q205" i="21"/>
  <c r="B206" i="21"/>
  <c r="F206" i="21"/>
  <c r="V205" i="21"/>
  <c r="J206" i="21"/>
  <c r="C206" i="21"/>
  <c r="I206" i="21"/>
  <c r="K206" i="21"/>
  <c r="E206" i="21"/>
  <c r="P205" i="21"/>
  <c r="K77" i="21" l="1"/>
  <c r="U76" i="21"/>
  <c r="S77" i="21"/>
  <c r="U205" i="21"/>
  <c r="T205" i="21"/>
  <c r="L205" i="21"/>
  <c r="M205" i="21"/>
  <c r="P206" i="21"/>
  <c r="C207" i="21"/>
  <c r="Q206" i="21"/>
  <c r="K207" i="21"/>
  <c r="E207" i="21"/>
  <c r="G207" i="21"/>
  <c r="S206" i="21"/>
  <c r="J207" i="21"/>
  <c r="B207" i="21"/>
  <c r="I207" i="21"/>
  <c r="V206" i="21"/>
  <c r="O206" i="21"/>
  <c r="F207" i="21"/>
  <c r="J77" i="21" l="1"/>
  <c r="V77" i="21"/>
  <c r="T206" i="21"/>
  <c r="U206" i="21"/>
  <c r="L206" i="21"/>
  <c r="M206" i="21"/>
  <c r="G208" i="21"/>
  <c r="J208" i="21"/>
  <c r="I208" i="21"/>
  <c r="O207" i="21"/>
  <c r="S207" i="21"/>
  <c r="V207" i="21"/>
  <c r="P207" i="21"/>
  <c r="B208" i="21"/>
  <c r="K208" i="21"/>
  <c r="C208" i="21"/>
  <c r="F208" i="21"/>
  <c r="Q207" i="21"/>
  <c r="E208" i="21"/>
  <c r="I78" i="21" l="1"/>
  <c r="T77" i="21"/>
  <c r="L77" i="21"/>
  <c r="M77" i="21"/>
  <c r="P208" i="21"/>
  <c r="C209" i="21"/>
  <c r="I209" i="21"/>
  <c r="Q208" i="21"/>
  <c r="E209" i="21"/>
  <c r="B209" i="21"/>
  <c r="K209" i="21"/>
  <c r="F209" i="21"/>
  <c r="G209" i="21"/>
  <c r="S208" i="21"/>
  <c r="V208" i="21"/>
  <c r="O208" i="21"/>
  <c r="J209" i="21"/>
  <c r="M207" i="21"/>
  <c r="T207" i="21"/>
  <c r="L207" i="21"/>
  <c r="U207" i="21"/>
  <c r="U77" i="21" l="1"/>
  <c r="S78" i="21"/>
  <c r="K78" i="21"/>
  <c r="Q77" i="21"/>
  <c r="L208" i="21"/>
  <c r="U208" i="21"/>
  <c r="T208" i="21"/>
  <c r="M208" i="21"/>
  <c r="B210" i="21"/>
  <c r="G210" i="21"/>
  <c r="S209" i="21"/>
  <c r="P209" i="21"/>
  <c r="O209" i="21"/>
  <c r="V209" i="21"/>
  <c r="K210" i="21"/>
  <c r="E210" i="21"/>
  <c r="C210" i="21"/>
  <c r="I210" i="21"/>
  <c r="J210" i="21"/>
  <c r="Q209" i="21"/>
  <c r="F210" i="21"/>
  <c r="J78" i="21" l="1"/>
  <c r="M78" i="21" s="1"/>
  <c r="V78" i="21"/>
  <c r="L209" i="21"/>
  <c r="U209" i="21"/>
  <c r="M209" i="21"/>
  <c r="T209" i="21"/>
  <c r="G211" i="21"/>
  <c r="O210" i="21"/>
  <c r="I211" i="21"/>
  <c r="P210" i="21"/>
  <c r="C211" i="21"/>
  <c r="S210" i="21"/>
  <c r="J211" i="21"/>
  <c r="E211" i="21"/>
  <c r="V210" i="21"/>
  <c r="K211" i="21"/>
  <c r="F211" i="21"/>
  <c r="Q210" i="21"/>
  <c r="B211" i="21"/>
  <c r="L78" i="21" l="1"/>
  <c r="T78" i="21"/>
  <c r="Q78" i="21" s="1"/>
  <c r="I79" i="21"/>
  <c r="M210" i="21"/>
  <c r="T210" i="21"/>
  <c r="L210" i="21"/>
  <c r="U210" i="21"/>
  <c r="J212" i="21"/>
  <c r="S211" i="21"/>
  <c r="I212" i="21"/>
  <c r="C212" i="21"/>
  <c r="F212" i="21"/>
  <c r="K212" i="21"/>
  <c r="Q211" i="21"/>
  <c r="O211" i="21"/>
  <c r="G212" i="21"/>
  <c r="E212" i="21"/>
  <c r="B212" i="21"/>
  <c r="V211" i="21"/>
  <c r="P211" i="21"/>
  <c r="K79" i="21" l="1"/>
  <c r="U78" i="21"/>
  <c r="S79" i="21"/>
  <c r="O212" i="21"/>
  <c r="G213" i="21"/>
  <c r="S212" i="21"/>
  <c r="C213" i="21"/>
  <c r="E213" i="21"/>
  <c r="I213" i="21"/>
  <c r="B213" i="21"/>
  <c r="P212" i="21"/>
  <c r="V212" i="21"/>
  <c r="Q212" i="21"/>
  <c r="J213" i="21"/>
  <c r="K213" i="21"/>
  <c r="F213" i="21"/>
  <c r="T211" i="21"/>
  <c r="M211" i="21"/>
  <c r="L211" i="21"/>
  <c r="U211" i="21"/>
  <c r="J79" i="21" l="1"/>
  <c r="M79" i="21" s="1"/>
  <c r="V79" i="21"/>
  <c r="E214" i="21"/>
  <c r="P213" i="21"/>
  <c r="K214" i="21"/>
  <c r="F214" i="21"/>
  <c r="B214" i="21"/>
  <c r="V213" i="21"/>
  <c r="G214" i="21"/>
  <c r="O213" i="21"/>
  <c r="Q213" i="21"/>
  <c r="I214" i="21"/>
  <c r="J214" i="21"/>
  <c r="S213" i="21"/>
  <c r="C214" i="21"/>
  <c r="L212" i="21"/>
  <c r="T212" i="21"/>
  <c r="M212" i="21"/>
  <c r="U212" i="21"/>
  <c r="T79" i="21" l="1"/>
  <c r="Q79" i="21" s="1"/>
  <c r="L79" i="21"/>
  <c r="I80" i="21"/>
  <c r="T213" i="21"/>
  <c r="U213" i="21"/>
  <c r="L213" i="21"/>
  <c r="M213" i="21"/>
  <c r="C215" i="21"/>
  <c r="B215" i="21"/>
  <c r="Q214" i="21"/>
  <c r="F215" i="21"/>
  <c r="E215" i="21"/>
  <c r="K215" i="21"/>
  <c r="G215" i="21"/>
  <c r="J215" i="21"/>
  <c r="V214" i="21"/>
  <c r="S214" i="21"/>
  <c r="O214" i="21"/>
  <c r="I215" i="21"/>
  <c r="P214" i="21"/>
  <c r="K80" i="21" l="1"/>
  <c r="U79" i="21"/>
  <c r="S80" i="21"/>
  <c r="T214" i="21"/>
  <c r="M214" i="21"/>
  <c r="U214" i="21"/>
  <c r="L214" i="21"/>
  <c r="F216" i="21"/>
  <c r="B216" i="21"/>
  <c r="I216" i="21"/>
  <c r="G216" i="21"/>
  <c r="J216" i="21"/>
  <c r="K216" i="21"/>
  <c r="P215" i="21"/>
  <c r="C216" i="21"/>
  <c r="Q215" i="21"/>
  <c r="E216" i="21"/>
  <c r="O215" i="21"/>
  <c r="S215" i="21"/>
  <c r="V215" i="21"/>
  <c r="J80" i="21" l="1"/>
  <c r="V80" i="21"/>
  <c r="T215" i="21"/>
  <c r="L215" i="21"/>
  <c r="M215" i="21"/>
  <c r="U215" i="21"/>
  <c r="E217" i="21"/>
  <c r="O216" i="21"/>
  <c r="K217" i="21"/>
  <c r="I217" i="21"/>
  <c r="F217" i="21"/>
  <c r="G217" i="21"/>
  <c r="Q216" i="21"/>
  <c r="B217" i="21"/>
  <c r="P216" i="21"/>
  <c r="S216" i="21"/>
  <c r="J217" i="21"/>
  <c r="V216" i="21"/>
  <c r="C217" i="21"/>
  <c r="I81" i="21" l="1"/>
  <c r="T80" i="21"/>
  <c r="M80" i="21"/>
  <c r="L80" i="21"/>
  <c r="J218" i="21"/>
  <c r="C218" i="21"/>
  <c r="S217" i="21"/>
  <c r="V217" i="21"/>
  <c r="E218" i="21"/>
  <c r="O217" i="21"/>
  <c r="I218" i="21"/>
  <c r="F218" i="21"/>
  <c r="B218" i="21"/>
  <c r="K218" i="21"/>
  <c r="Q217" i="21"/>
  <c r="P217" i="21"/>
  <c r="G218" i="21"/>
  <c r="T216" i="21"/>
  <c r="U216" i="21"/>
  <c r="M216" i="21"/>
  <c r="L216" i="21"/>
  <c r="S81" i="21" l="1"/>
  <c r="U80" i="21"/>
  <c r="K81" i="21"/>
  <c r="Q80" i="21"/>
  <c r="M217" i="21"/>
  <c r="T217" i="21"/>
  <c r="L217" i="21"/>
  <c r="U217" i="21"/>
  <c r="B219" i="21"/>
  <c r="P218" i="21"/>
  <c r="I219" i="21"/>
  <c r="G219" i="21"/>
  <c r="J219" i="21"/>
  <c r="K219" i="21"/>
  <c r="O218" i="21"/>
  <c r="E219" i="21"/>
  <c r="V218" i="21"/>
  <c r="S218" i="21"/>
  <c r="C219" i="21"/>
  <c r="Q218" i="21"/>
  <c r="F219" i="21"/>
  <c r="J81" i="21" l="1"/>
  <c r="T81" i="21" s="1"/>
  <c r="V81" i="21"/>
  <c r="U218" i="21"/>
  <c r="L218" i="21"/>
  <c r="T218" i="21"/>
  <c r="M218" i="21"/>
  <c r="G220" i="21"/>
  <c r="J220" i="21"/>
  <c r="V219" i="21"/>
  <c r="C220" i="21"/>
  <c r="O219" i="21"/>
  <c r="I220" i="21"/>
  <c r="P219" i="21"/>
  <c r="B220" i="21"/>
  <c r="S219" i="21"/>
  <c r="F220" i="21"/>
  <c r="E220" i="21"/>
  <c r="Q219" i="21"/>
  <c r="K220" i="21"/>
  <c r="M81" i="21" l="1"/>
  <c r="L81" i="21"/>
  <c r="U81" i="21"/>
  <c r="S82" i="21"/>
  <c r="Q81" i="21"/>
  <c r="I82" i="21"/>
  <c r="F221" i="21"/>
  <c r="E221" i="21"/>
  <c r="Q220" i="21"/>
  <c r="K221" i="21"/>
  <c r="G221" i="21"/>
  <c r="C221" i="21"/>
  <c r="V220" i="21"/>
  <c r="O220" i="21"/>
  <c r="P220" i="21"/>
  <c r="S220" i="21"/>
  <c r="J221" i="21"/>
  <c r="I221" i="21"/>
  <c r="B221" i="21"/>
  <c r="L219" i="21"/>
  <c r="T219" i="21"/>
  <c r="U219" i="21"/>
  <c r="M219" i="21"/>
  <c r="K82" i="21" l="1"/>
  <c r="T220" i="21"/>
  <c r="U220" i="21"/>
  <c r="L220" i="21"/>
  <c r="M220" i="21"/>
  <c r="P221" i="21"/>
  <c r="O221" i="21"/>
  <c r="I222" i="21"/>
  <c r="E222" i="21"/>
  <c r="J222" i="21"/>
  <c r="V221" i="21"/>
  <c r="K222" i="21"/>
  <c r="F222" i="21"/>
  <c r="B222" i="21"/>
  <c r="Q221" i="21"/>
  <c r="G222" i="21"/>
  <c r="S221" i="21"/>
  <c r="C222" i="21"/>
  <c r="J82" i="21" l="1"/>
  <c r="V82" i="21"/>
  <c r="L221" i="21"/>
  <c r="T221" i="21"/>
  <c r="U221" i="21"/>
  <c r="M221" i="21"/>
  <c r="P222" i="21"/>
  <c r="E223" i="21"/>
  <c r="S222" i="21"/>
  <c r="C223" i="21"/>
  <c r="F223" i="21"/>
  <c r="V222" i="21"/>
  <c r="J223" i="21"/>
  <c r="G223" i="21"/>
  <c r="K223" i="21"/>
  <c r="Q222" i="21"/>
  <c r="B223" i="21"/>
  <c r="I223" i="21"/>
  <c r="O222" i="21"/>
  <c r="I83" i="21" l="1"/>
  <c r="L82" i="21"/>
  <c r="M82" i="21"/>
  <c r="T82" i="21"/>
  <c r="B224" i="21"/>
  <c r="F224" i="21"/>
  <c r="Q223" i="21"/>
  <c r="V223" i="21"/>
  <c r="J224" i="21"/>
  <c r="G224" i="21"/>
  <c r="I224" i="21"/>
  <c r="C224" i="21"/>
  <c r="P223" i="21"/>
  <c r="S223" i="21"/>
  <c r="E224" i="21"/>
  <c r="K224" i="21"/>
  <c r="O223" i="21"/>
  <c r="L222" i="21"/>
  <c r="T222" i="21"/>
  <c r="M222" i="21"/>
  <c r="U222" i="21"/>
  <c r="U82" i="21" l="1"/>
  <c r="S83" i="21"/>
  <c r="K83" i="21"/>
  <c r="Q82" i="21"/>
  <c r="M223" i="21"/>
  <c r="T223" i="21"/>
  <c r="U223" i="21"/>
  <c r="L223" i="21"/>
  <c r="B225" i="21"/>
  <c r="K225" i="21"/>
  <c r="S224" i="21"/>
  <c r="J225" i="21"/>
  <c r="G225" i="21"/>
  <c r="C225" i="21"/>
  <c r="V224" i="21"/>
  <c r="O224" i="21"/>
  <c r="E225" i="21"/>
  <c r="Q224" i="21"/>
  <c r="P224" i="21"/>
  <c r="I225" i="21"/>
  <c r="F225" i="21"/>
  <c r="J83" i="21" l="1"/>
  <c r="T83" i="21" s="1"/>
  <c r="V83" i="21"/>
  <c r="T224" i="21"/>
  <c r="U224" i="21"/>
  <c r="M224" i="21"/>
  <c r="L224" i="21"/>
  <c r="F226" i="21"/>
  <c r="P225" i="21"/>
  <c r="Q225" i="21"/>
  <c r="J226" i="21"/>
  <c r="G226" i="21"/>
  <c r="S225" i="21"/>
  <c r="I226" i="21"/>
  <c r="C226" i="21"/>
  <c r="B226" i="21"/>
  <c r="K226" i="21"/>
  <c r="E226" i="21"/>
  <c r="O225" i="21"/>
  <c r="V225" i="21"/>
  <c r="U83" i="21" l="1"/>
  <c r="S84" i="21"/>
  <c r="L83" i="21"/>
  <c r="M83" i="21"/>
  <c r="Q83" i="21"/>
  <c r="I84" i="21"/>
  <c r="M225" i="21"/>
  <c r="L225" i="21"/>
  <c r="T225" i="21"/>
  <c r="U225" i="21"/>
  <c r="E227" i="21"/>
  <c r="F227" i="21"/>
  <c r="Q226" i="21"/>
  <c r="C227" i="21"/>
  <c r="B227" i="21"/>
  <c r="V226" i="21"/>
  <c r="K227" i="21"/>
  <c r="O226" i="21"/>
  <c r="J227" i="21"/>
  <c r="I227" i="21"/>
  <c r="G227" i="21"/>
  <c r="S226" i="21"/>
  <c r="P226" i="21"/>
  <c r="K84" i="21" l="1"/>
  <c r="M226" i="21"/>
  <c r="U226" i="21"/>
  <c r="T226" i="21"/>
  <c r="L226" i="21"/>
  <c r="O227" i="21"/>
  <c r="J228" i="21"/>
  <c r="K228" i="21"/>
  <c r="P227" i="21"/>
  <c r="G228" i="21"/>
  <c r="F228" i="21"/>
  <c r="C228" i="21"/>
  <c r="I228" i="21"/>
  <c r="B228" i="21"/>
  <c r="S227" i="21"/>
  <c r="V227" i="21"/>
  <c r="E228" i="21"/>
  <c r="Q227" i="21"/>
  <c r="J84" i="21" l="1"/>
  <c r="L84" i="21" s="1"/>
  <c r="V84" i="21"/>
  <c r="P228" i="21"/>
  <c r="G229" i="21"/>
  <c r="V228" i="21"/>
  <c r="Q228" i="21"/>
  <c r="E229" i="21"/>
  <c r="O228" i="21"/>
  <c r="S228" i="21"/>
  <c r="F229" i="21"/>
  <c r="K229" i="21"/>
  <c r="C229" i="21"/>
  <c r="J229" i="21"/>
  <c r="B229" i="21"/>
  <c r="I229" i="21"/>
  <c r="U227" i="21"/>
  <c r="L227" i="21"/>
  <c r="T227" i="21"/>
  <c r="M227" i="21"/>
  <c r="M84" i="21" l="1"/>
  <c r="T84" i="21"/>
  <c r="I85" i="21"/>
  <c r="M228" i="21"/>
  <c r="U228" i="21"/>
  <c r="L228" i="21"/>
  <c r="T228" i="21"/>
  <c r="E230" i="21"/>
  <c r="V229" i="21"/>
  <c r="S229" i="21"/>
  <c r="O229" i="21"/>
  <c r="J230" i="21"/>
  <c r="Q229" i="21"/>
  <c r="I230" i="21"/>
  <c r="P229" i="21"/>
  <c r="K230" i="21"/>
  <c r="F230" i="21"/>
  <c r="C230" i="21"/>
  <c r="G230" i="21"/>
  <c r="B230" i="21"/>
  <c r="K85" i="21" l="1"/>
  <c r="S85" i="21"/>
  <c r="U84" i="21"/>
  <c r="Q84" i="21"/>
  <c r="M229" i="21"/>
  <c r="U229" i="21"/>
  <c r="L229" i="21"/>
  <c r="T229" i="21"/>
  <c r="O230" i="21"/>
  <c r="E231" i="21"/>
  <c r="K231" i="21"/>
  <c r="B231" i="21"/>
  <c r="F231" i="21"/>
  <c r="I231" i="21"/>
  <c r="G231" i="21"/>
  <c r="V230" i="21"/>
  <c r="C231" i="21"/>
  <c r="J231" i="21"/>
  <c r="S230" i="21"/>
  <c r="Q230" i="21"/>
  <c r="P230" i="21"/>
  <c r="J85" i="21" l="1"/>
  <c r="T85" i="21" s="1"/>
  <c r="V85" i="21"/>
  <c r="C232" i="21"/>
  <c r="F232" i="21"/>
  <c r="P231" i="21"/>
  <c r="Q231" i="21"/>
  <c r="O231" i="21"/>
  <c r="G232" i="21"/>
  <c r="S231" i="21"/>
  <c r="I232" i="21"/>
  <c r="E232" i="21"/>
  <c r="K232" i="21"/>
  <c r="B232" i="21"/>
  <c r="J232" i="21"/>
  <c r="V231" i="21"/>
  <c r="U230" i="21"/>
  <c r="L230" i="21"/>
  <c r="M230" i="21"/>
  <c r="T230" i="21"/>
  <c r="S86" i="21" l="1"/>
  <c r="U85" i="21"/>
  <c r="Q85" i="21"/>
  <c r="I86" i="21"/>
  <c r="M85" i="21"/>
  <c r="L85" i="21"/>
  <c r="J233" i="21"/>
  <c r="P232" i="21"/>
  <c r="K233" i="21"/>
  <c r="C233" i="21"/>
  <c r="B233" i="21"/>
  <c r="V232" i="21"/>
  <c r="S232" i="21"/>
  <c r="G233" i="21"/>
  <c r="O232" i="21"/>
  <c r="Q232" i="21"/>
  <c r="F233" i="21"/>
  <c r="I233" i="21"/>
  <c r="E233" i="21"/>
  <c r="T231" i="21"/>
  <c r="M231" i="21"/>
  <c r="U231" i="21"/>
  <c r="L231" i="21"/>
  <c r="K86" i="21" l="1"/>
  <c r="M232" i="21"/>
  <c r="U232" i="21"/>
  <c r="L232" i="21"/>
  <c r="T232" i="21"/>
  <c r="J234" i="21"/>
  <c r="G234" i="21"/>
  <c r="I234" i="21"/>
  <c r="V233" i="21"/>
  <c r="B234" i="21"/>
  <c r="P233" i="21"/>
  <c r="S233" i="21"/>
  <c r="C234" i="21"/>
  <c r="Q233" i="21"/>
  <c r="E234" i="21"/>
  <c r="O233" i="21"/>
  <c r="F234" i="21"/>
  <c r="K234" i="21"/>
  <c r="J86" i="21" l="1"/>
  <c r="V86" i="21"/>
  <c r="M233" i="21"/>
  <c r="T233" i="21"/>
  <c r="L233" i="21"/>
  <c r="U233" i="21"/>
  <c r="G235" i="21"/>
  <c r="C235" i="21"/>
  <c r="V234" i="21"/>
  <c r="J235" i="21"/>
  <c r="B235" i="21"/>
  <c r="K235" i="21"/>
  <c r="Q234" i="21"/>
  <c r="O234" i="21"/>
  <c r="E235" i="21"/>
  <c r="S234" i="21"/>
  <c r="P234" i="21"/>
  <c r="I235" i="21"/>
  <c r="F235" i="21"/>
  <c r="I87" i="21" l="1"/>
  <c r="T86" i="21"/>
  <c r="M86" i="21"/>
  <c r="L86" i="21"/>
  <c r="M234" i="21"/>
  <c r="T234" i="21"/>
  <c r="L234" i="21"/>
  <c r="U234" i="21"/>
  <c r="O235" i="21"/>
  <c r="G236" i="21"/>
  <c r="Q235" i="21"/>
  <c r="E236" i="21"/>
  <c r="B236" i="21"/>
  <c r="I236" i="21"/>
  <c r="P235" i="21"/>
  <c r="J236" i="21"/>
  <c r="S235" i="21"/>
  <c r="F236" i="21"/>
  <c r="V235" i="21"/>
  <c r="C236" i="21"/>
  <c r="K236" i="21"/>
  <c r="S87" i="21" l="1"/>
  <c r="U86" i="21"/>
  <c r="K87" i="21"/>
  <c r="Q86" i="21"/>
  <c r="L235" i="21"/>
  <c r="M235" i="21"/>
  <c r="U235" i="21"/>
  <c r="T235" i="21"/>
  <c r="O236" i="21"/>
  <c r="S236" i="21"/>
  <c r="Q236" i="21"/>
  <c r="B237" i="21"/>
  <c r="F237" i="21"/>
  <c r="V236" i="21"/>
  <c r="K237" i="21"/>
  <c r="E237" i="21"/>
  <c r="C237" i="21"/>
  <c r="J237" i="21"/>
  <c r="G237" i="21"/>
  <c r="P236" i="21"/>
  <c r="I237" i="21"/>
  <c r="J87" i="21" l="1"/>
  <c r="T87" i="21" s="1"/>
  <c r="V87" i="21"/>
  <c r="J238" i="21"/>
  <c r="C238" i="21"/>
  <c r="I238" i="21"/>
  <c r="O237" i="21"/>
  <c r="P237" i="21"/>
  <c r="S237" i="21"/>
  <c r="F238" i="21"/>
  <c r="Q237" i="21"/>
  <c r="E238" i="21"/>
  <c r="B238" i="21"/>
  <c r="G238" i="21"/>
  <c r="V237" i="21"/>
  <c r="K238" i="21"/>
  <c r="M236" i="21"/>
  <c r="U236" i="21"/>
  <c r="L236" i="21"/>
  <c r="T236" i="21"/>
  <c r="L87" i="21" l="1"/>
  <c r="U87" i="21"/>
  <c r="S88" i="21"/>
  <c r="M87" i="21"/>
  <c r="Q87" i="21"/>
  <c r="I88" i="21"/>
  <c r="J239" i="21"/>
  <c r="C239" i="21"/>
  <c r="S238" i="21"/>
  <c r="G239" i="21"/>
  <c r="F239" i="21"/>
  <c r="K239" i="21"/>
  <c r="Q238" i="21"/>
  <c r="E239" i="21"/>
  <c r="O238" i="21"/>
  <c r="V238" i="21"/>
  <c r="P238" i="21"/>
  <c r="I239" i="21"/>
  <c r="B239" i="21"/>
  <c r="L237" i="21"/>
  <c r="T237" i="21"/>
  <c r="M237" i="21"/>
  <c r="U237" i="21"/>
  <c r="K88" i="21" l="1"/>
  <c r="F240" i="21"/>
  <c r="B240" i="21"/>
  <c r="S239" i="21"/>
  <c r="J240" i="21"/>
  <c r="P239" i="21"/>
  <c r="I240" i="21"/>
  <c r="E240" i="21"/>
  <c r="V239" i="21"/>
  <c r="G240" i="21"/>
  <c r="K240" i="21"/>
  <c r="Q239" i="21"/>
  <c r="C240" i="21"/>
  <c r="O239" i="21"/>
  <c r="M238" i="21"/>
  <c r="L238" i="21"/>
  <c r="T238" i="21"/>
  <c r="U238" i="21"/>
  <c r="J88" i="21" l="1"/>
  <c r="V88" i="21"/>
  <c r="M239" i="21"/>
  <c r="U239" i="21"/>
  <c r="L239" i="21"/>
  <c r="T239" i="21"/>
  <c r="C241" i="21"/>
  <c r="J241" i="21"/>
  <c r="V240" i="21"/>
  <c r="E241" i="21"/>
  <c r="F241" i="21"/>
  <c r="K241" i="21"/>
  <c r="G241" i="21"/>
  <c r="I241" i="21"/>
  <c r="O240" i="21"/>
  <c r="S240" i="21"/>
  <c r="Q240" i="21"/>
  <c r="B241" i="21"/>
  <c r="P240" i="21"/>
  <c r="I89" i="21" l="1"/>
  <c r="T88" i="21"/>
  <c r="M88" i="21"/>
  <c r="L88" i="21"/>
  <c r="O241" i="21"/>
  <c r="B242" i="21"/>
  <c r="V241" i="21"/>
  <c r="F242" i="21"/>
  <c r="C242" i="21"/>
  <c r="K242" i="21"/>
  <c r="I242" i="21"/>
  <c r="G242" i="21"/>
  <c r="Q241" i="21"/>
  <c r="E242" i="21"/>
  <c r="S241" i="21"/>
  <c r="P241" i="21"/>
  <c r="J242" i="21"/>
  <c r="M240" i="21"/>
  <c r="L240" i="21"/>
  <c r="U240" i="21"/>
  <c r="T240" i="21"/>
  <c r="S89" i="21" l="1"/>
  <c r="U88" i="21"/>
  <c r="K89" i="21"/>
  <c r="Q88" i="21"/>
  <c r="U241" i="21"/>
  <c r="M241" i="21"/>
  <c r="L241" i="21"/>
  <c r="T241" i="21"/>
  <c r="O242" i="21"/>
  <c r="J243" i="21"/>
  <c r="K243" i="21"/>
  <c r="F243" i="21"/>
  <c r="G243" i="21"/>
  <c r="S242" i="21"/>
  <c r="B243" i="21"/>
  <c r="E243" i="21"/>
  <c r="Q242" i="21"/>
  <c r="I243" i="21"/>
  <c r="V242" i="21"/>
  <c r="P242" i="21"/>
  <c r="C243" i="21"/>
  <c r="J89" i="21" l="1"/>
  <c r="M89" i="21" s="1"/>
  <c r="V89" i="21"/>
  <c r="G244" i="21"/>
  <c r="J244" i="21"/>
  <c r="Q243" i="21"/>
  <c r="C244" i="21"/>
  <c r="O243" i="21"/>
  <c r="I244" i="21"/>
  <c r="E244" i="21"/>
  <c r="S243" i="21"/>
  <c r="P243" i="21"/>
  <c r="K244" i="21"/>
  <c r="V243" i="21"/>
  <c r="F244" i="21"/>
  <c r="B244" i="21"/>
  <c r="U242" i="21"/>
  <c r="T242" i="21"/>
  <c r="M242" i="21"/>
  <c r="L242" i="21"/>
  <c r="T89" i="21" l="1"/>
  <c r="U89" i="21" s="1"/>
  <c r="L89" i="21"/>
  <c r="Q89" i="21"/>
  <c r="I90" i="21"/>
  <c r="T243" i="21"/>
  <c r="L243" i="21"/>
  <c r="U243" i="21"/>
  <c r="M243" i="21"/>
  <c r="O244" i="21"/>
  <c r="J245" i="21"/>
  <c r="K245" i="21"/>
  <c r="Q244" i="21"/>
  <c r="P244" i="21"/>
  <c r="E245" i="21"/>
  <c r="F245" i="21"/>
  <c r="C245" i="21"/>
  <c r="V244" i="21"/>
  <c r="G245" i="21"/>
  <c r="S244" i="21"/>
  <c r="I245" i="21"/>
  <c r="B245" i="21"/>
  <c r="S90" i="21" l="1"/>
  <c r="K90" i="21"/>
  <c r="U244" i="21"/>
  <c r="L244" i="21"/>
  <c r="T244" i="21"/>
  <c r="M244" i="21"/>
  <c r="J246" i="21"/>
  <c r="G246" i="21"/>
  <c r="I246" i="21"/>
  <c r="O245" i="21"/>
  <c r="F246" i="21"/>
  <c r="K246" i="21"/>
  <c r="Q245" i="21"/>
  <c r="B246" i="21"/>
  <c r="C246" i="21"/>
  <c r="S245" i="21"/>
  <c r="E246" i="21"/>
  <c r="V245" i="21"/>
  <c r="P245" i="21"/>
  <c r="J90" i="21" l="1"/>
  <c r="V90" i="21"/>
  <c r="E247" i="21"/>
  <c r="B247" i="21"/>
  <c r="K247" i="21"/>
  <c r="F247" i="21"/>
  <c r="V246" i="21"/>
  <c r="Q246" i="21"/>
  <c r="P246" i="21"/>
  <c r="C247" i="21"/>
  <c r="I247" i="21"/>
  <c r="S246" i="21"/>
  <c r="O246" i="21"/>
  <c r="J247" i="21"/>
  <c r="G247" i="21"/>
  <c r="T245" i="21"/>
  <c r="U245" i="21"/>
  <c r="L245" i="21"/>
  <c r="M245" i="21"/>
  <c r="I91" i="21" l="1"/>
  <c r="L90" i="21"/>
  <c r="T90" i="21"/>
  <c r="M90" i="21"/>
  <c r="M246" i="21"/>
  <c r="T246" i="21"/>
  <c r="L246" i="21"/>
  <c r="U246" i="21"/>
  <c r="C248" i="21"/>
  <c r="J248" i="21"/>
  <c r="K248" i="21"/>
  <c r="E248" i="21"/>
  <c r="G248" i="21"/>
  <c r="S247" i="21"/>
  <c r="P247" i="21"/>
  <c r="Q247" i="21"/>
  <c r="B248" i="21"/>
  <c r="V247" i="21"/>
  <c r="I248" i="21"/>
  <c r="O247" i="21"/>
  <c r="F248" i="21"/>
  <c r="S91" i="21" l="1"/>
  <c r="U90" i="21"/>
  <c r="K91" i="21"/>
  <c r="Q90" i="21"/>
  <c r="U247" i="21"/>
  <c r="L247" i="21"/>
  <c r="T247" i="21"/>
  <c r="M247" i="21"/>
  <c r="G249" i="21"/>
  <c r="F249" i="21"/>
  <c r="S248" i="21"/>
  <c r="K249" i="21"/>
  <c r="O248" i="21"/>
  <c r="J249" i="21"/>
  <c r="V248" i="21"/>
  <c r="P248" i="21"/>
  <c r="I249" i="21"/>
  <c r="E249" i="21"/>
  <c r="Q248" i="21"/>
  <c r="B249" i="21"/>
  <c r="C249" i="21"/>
  <c r="J91" i="21" l="1"/>
  <c r="T91" i="21" s="1"/>
  <c r="V91" i="21"/>
  <c r="M248" i="21"/>
  <c r="T248" i="21"/>
  <c r="L248" i="21"/>
  <c r="U248" i="21"/>
  <c r="G250" i="21"/>
  <c r="C250" i="21"/>
  <c r="I250" i="21"/>
  <c r="B250" i="21"/>
  <c r="O249" i="21"/>
  <c r="J250" i="21"/>
  <c r="P249" i="21"/>
  <c r="S249" i="21"/>
  <c r="V249" i="21"/>
  <c r="K250" i="21"/>
  <c r="Q249" i="21"/>
  <c r="F250" i="21"/>
  <c r="E250" i="21"/>
  <c r="M91" i="21" l="1"/>
  <c r="L91" i="21"/>
  <c r="U91" i="21"/>
  <c r="S92" i="21"/>
  <c r="Q91" i="21"/>
  <c r="I92" i="21"/>
  <c r="M249" i="21"/>
  <c r="L249" i="21"/>
  <c r="T249" i="21"/>
  <c r="U249" i="21"/>
  <c r="G251" i="21"/>
  <c r="C251" i="21"/>
  <c r="S250" i="21"/>
  <c r="J251" i="21"/>
  <c r="K251" i="21"/>
  <c r="V250" i="21"/>
  <c r="P250" i="21"/>
  <c r="E251" i="21"/>
  <c r="Q250" i="21"/>
  <c r="I251" i="21"/>
  <c r="F251" i="21"/>
  <c r="O250" i="21"/>
  <c r="B251" i="21"/>
  <c r="K92" i="21" l="1"/>
  <c r="T250" i="21"/>
  <c r="L250" i="21"/>
  <c r="M250" i="21"/>
  <c r="U250" i="21"/>
  <c r="P251" i="21"/>
  <c r="B252" i="21"/>
  <c r="Q251" i="21"/>
  <c r="E252" i="21"/>
  <c r="J252" i="21"/>
  <c r="I252" i="21"/>
  <c r="G252" i="21"/>
  <c r="C252" i="21"/>
  <c r="S251" i="21"/>
  <c r="V251" i="21"/>
  <c r="O251" i="21"/>
  <c r="F252" i="21"/>
  <c r="K252" i="21"/>
  <c r="J92" i="21" l="1"/>
  <c r="V92" i="21"/>
  <c r="P252" i="21"/>
  <c r="E253" i="21"/>
  <c r="I253" i="21"/>
  <c r="B253" i="21"/>
  <c r="F253" i="21"/>
  <c r="V252" i="21"/>
  <c r="G253" i="21"/>
  <c r="C253" i="21"/>
  <c r="S252" i="21"/>
  <c r="K253" i="21"/>
  <c r="Q252" i="21"/>
  <c r="O252" i="21"/>
  <c r="J253" i="21"/>
  <c r="M251" i="21"/>
  <c r="L251" i="21"/>
  <c r="T251" i="21"/>
  <c r="U251" i="21"/>
  <c r="I93" i="21" l="1"/>
  <c r="T92" i="21"/>
  <c r="L92" i="21"/>
  <c r="M92" i="21"/>
  <c r="G254" i="21"/>
  <c r="J254" i="21"/>
  <c r="C254" i="21"/>
  <c r="B254" i="21"/>
  <c r="P253" i="21"/>
  <c r="S253" i="21"/>
  <c r="F254" i="21"/>
  <c r="Q253" i="21"/>
  <c r="E254" i="21"/>
  <c r="V253" i="21"/>
  <c r="O253" i="21"/>
  <c r="I254" i="21"/>
  <c r="K254" i="21"/>
  <c r="L252" i="21"/>
  <c r="M252" i="21"/>
  <c r="T252" i="21"/>
  <c r="U252" i="21"/>
  <c r="U92" i="21" l="1"/>
  <c r="S93" i="21"/>
  <c r="K93" i="21"/>
  <c r="Q92" i="21"/>
  <c r="C255" i="21"/>
  <c r="E255" i="21"/>
  <c r="I255" i="21"/>
  <c r="B255" i="21"/>
  <c r="F255" i="21"/>
  <c r="K255" i="21"/>
  <c r="P254" i="21"/>
  <c r="S254" i="21"/>
  <c r="J255" i="21"/>
  <c r="V254" i="21"/>
  <c r="Q254" i="21"/>
  <c r="G255" i="21"/>
  <c r="O254" i="21"/>
  <c r="M253" i="21"/>
  <c r="T253" i="21"/>
  <c r="U253" i="21"/>
  <c r="L253" i="21"/>
  <c r="J93" i="21" l="1"/>
  <c r="T93" i="21" s="1"/>
  <c r="V93" i="21"/>
  <c r="M254" i="21"/>
  <c r="U254" i="21"/>
  <c r="T254" i="21"/>
  <c r="L254" i="21"/>
  <c r="E256" i="21"/>
  <c r="F256" i="21"/>
  <c r="K256" i="21"/>
  <c r="B256" i="21"/>
  <c r="C256" i="21"/>
  <c r="Q255" i="21"/>
  <c r="I256" i="21"/>
  <c r="J256" i="21"/>
  <c r="V255" i="21"/>
  <c r="G256" i="21"/>
  <c r="P255" i="21"/>
  <c r="O255" i="21"/>
  <c r="S255" i="21"/>
  <c r="L93" i="21" l="1"/>
  <c r="S94" i="21"/>
  <c r="U93" i="21"/>
  <c r="M93" i="21"/>
  <c r="Q93" i="21"/>
  <c r="I94" i="21"/>
  <c r="C257" i="21"/>
  <c r="G257" i="21"/>
  <c r="V256" i="21"/>
  <c r="S256" i="21"/>
  <c r="J257" i="21"/>
  <c r="O256" i="21"/>
  <c r="I257" i="21"/>
  <c r="F257" i="21"/>
  <c r="B257" i="21"/>
  <c r="K257" i="21"/>
  <c r="P256" i="21"/>
  <c r="E257" i="21"/>
  <c r="Q256" i="21"/>
  <c r="M255" i="21"/>
  <c r="L255" i="21"/>
  <c r="U255" i="21"/>
  <c r="T255" i="21"/>
  <c r="K94" i="21" l="1"/>
  <c r="T256" i="21"/>
  <c r="U256" i="21"/>
  <c r="L256" i="21"/>
  <c r="M256" i="21"/>
  <c r="F258" i="21"/>
  <c r="E258" i="21"/>
  <c r="V257" i="21"/>
  <c r="O257" i="21"/>
  <c r="G258" i="21"/>
  <c r="K258" i="21"/>
  <c r="I258" i="21"/>
  <c r="J258" i="21"/>
  <c r="S257" i="21"/>
  <c r="P257" i="21"/>
  <c r="C258" i="21"/>
  <c r="B258" i="21"/>
  <c r="Q257" i="21"/>
  <c r="J94" i="21" l="1"/>
  <c r="V94" i="21"/>
  <c r="F259" i="21"/>
  <c r="E259" i="21"/>
  <c r="S258" i="21"/>
  <c r="I259" i="21"/>
  <c r="G259" i="21"/>
  <c r="O258" i="21"/>
  <c r="K259" i="21"/>
  <c r="C259" i="21"/>
  <c r="V258" i="21"/>
  <c r="B259" i="21"/>
  <c r="P258" i="21"/>
  <c r="J259" i="21"/>
  <c r="Q258" i="21"/>
  <c r="U257" i="21"/>
  <c r="T257" i="21"/>
  <c r="M257" i="21"/>
  <c r="L257" i="21"/>
  <c r="I95" i="21" l="1"/>
  <c r="L94" i="21"/>
  <c r="T94" i="21"/>
  <c r="M94" i="21"/>
  <c r="L258" i="21"/>
  <c r="U258" i="21"/>
  <c r="T258" i="21"/>
  <c r="M258" i="21"/>
  <c r="G260" i="21"/>
  <c r="F260" i="21"/>
  <c r="V259" i="21"/>
  <c r="Q259" i="21"/>
  <c r="P259" i="21"/>
  <c r="O259" i="21"/>
  <c r="B260" i="21"/>
  <c r="C260" i="21"/>
  <c r="K260" i="21"/>
  <c r="J260" i="21"/>
  <c r="E260" i="21"/>
  <c r="S259" i="21"/>
  <c r="I260" i="21"/>
  <c r="S95" i="21" l="1"/>
  <c r="U94" i="21"/>
  <c r="K95" i="21"/>
  <c r="Q94" i="21"/>
  <c r="U259" i="21"/>
  <c r="M259" i="21"/>
  <c r="L259" i="21"/>
  <c r="T259" i="21"/>
  <c r="P260" i="21"/>
  <c r="J261" i="21"/>
  <c r="S260" i="21"/>
  <c r="F261" i="21"/>
  <c r="E261" i="21"/>
  <c r="I261" i="21"/>
  <c r="V260" i="21"/>
  <c r="C261" i="21"/>
  <c r="G261" i="21"/>
  <c r="Q260" i="21"/>
  <c r="O260" i="21"/>
  <c r="B261" i="21"/>
  <c r="K261" i="21"/>
  <c r="J95" i="21" l="1"/>
  <c r="M95" i="21" s="1"/>
  <c r="V95" i="21"/>
  <c r="F262" i="21"/>
  <c r="B262" i="21"/>
  <c r="I262" i="21"/>
  <c r="G262" i="21"/>
  <c r="P261" i="21"/>
  <c r="V261" i="21"/>
  <c r="E262" i="21"/>
  <c r="S261" i="21"/>
  <c r="O261" i="21"/>
  <c r="K262" i="21"/>
  <c r="C262" i="21"/>
  <c r="J262" i="21"/>
  <c r="Q261" i="21"/>
  <c r="U260" i="21"/>
  <c r="L260" i="21"/>
  <c r="M260" i="21"/>
  <c r="T260" i="21"/>
  <c r="T95" i="21" l="1"/>
  <c r="Q95" i="21" s="1"/>
  <c r="L95" i="21"/>
  <c r="I96" i="21"/>
  <c r="T261" i="21"/>
  <c r="M261" i="21"/>
  <c r="L261" i="21"/>
  <c r="U261" i="21"/>
  <c r="C263" i="21"/>
  <c r="G263" i="21"/>
  <c r="F263" i="21"/>
  <c r="E263" i="21"/>
  <c r="V262" i="21"/>
  <c r="S262" i="21"/>
  <c r="O262" i="21"/>
  <c r="J263" i="21"/>
  <c r="B263" i="21"/>
  <c r="K263" i="21"/>
  <c r="Q262" i="21"/>
  <c r="P262" i="21"/>
  <c r="I263" i="21"/>
  <c r="K96" i="21" l="1"/>
  <c r="S96" i="21"/>
  <c r="U95" i="21"/>
  <c r="M262" i="21"/>
  <c r="L262" i="21"/>
  <c r="T262" i="21"/>
  <c r="U262" i="21"/>
  <c r="C264" i="21"/>
  <c r="G264" i="21"/>
  <c r="S263" i="21"/>
  <c r="O263" i="21"/>
  <c r="E264" i="21"/>
  <c r="Q263" i="21"/>
  <c r="V263" i="21"/>
  <c r="P263" i="21"/>
  <c r="K264" i="21"/>
  <c r="J264" i="21"/>
  <c r="B264" i="21"/>
  <c r="F264" i="21"/>
  <c r="I264" i="21"/>
  <c r="J96" i="21" l="1"/>
  <c r="T96" i="21" s="1"/>
  <c r="V96" i="21"/>
  <c r="J265" i="21"/>
  <c r="F265" i="21"/>
  <c r="I265" i="21"/>
  <c r="O264" i="21"/>
  <c r="P264" i="21"/>
  <c r="S264" i="21"/>
  <c r="E265" i="21"/>
  <c r="G265" i="21"/>
  <c r="K265" i="21"/>
  <c r="C265" i="21"/>
  <c r="Q264" i="21"/>
  <c r="B265" i="21"/>
  <c r="V264" i="21"/>
  <c r="U263" i="21"/>
  <c r="L263" i="21"/>
  <c r="T263" i="21"/>
  <c r="M263" i="21"/>
  <c r="S97" i="21" l="1"/>
  <c r="U96" i="21"/>
  <c r="L96" i="21"/>
  <c r="Q96" i="21"/>
  <c r="I97" i="21"/>
  <c r="M96" i="21"/>
  <c r="J266" i="21"/>
  <c r="G266" i="21"/>
  <c r="Q265" i="21"/>
  <c r="F266" i="21"/>
  <c r="B266" i="21"/>
  <c r="S265" i="21"/>
  <c r="C266" i="21"/>
  <c r="I266" i="21"/>
  <c r="O265" i="21"/>
  <c r="P265" i="21"/>
  <c r="K266" i="21"/>
  <c r="V265" i="21"/>
  <c r="E266" i="21"/>
  <c r="L264" i="21"/>
  <c r="M264" i="21"/>
  <c r="U264" i="21"/>
  <c r="T264" i="21"/>
  <c r="K97" i="21" l="1"/>
  <c r="M265" i="21"/>
  <c r="L265" i="21"/>
  <c r="U265" i="21"/>
  <c r="T265" i="21"/>
  <c r="B267" i="21"/>
  <c r="J267" i="21"/>
  <c r="I267" i="21"/>
  <c r="O266" i="21"/>
  <c r="F267" i="21"/>
  <c r="K267" i="21"/>
  <c r="E267" i="21"/>
  <c r="S266" i="21"/>
  <c r="G267" i="21"/>
  <c r="C267" i="21"/>
  <c r="P266" i="21"/>
  <c r="Q266" i="21"/>
  <c r="V266" i="21"/>
  <c r="J97" i="21" l="1"/>
  <c r="V97" i="21"/>
  <c r="M266" i="21"/>
  <c r="L266" i="21"/>
  <c r="U266" i="21"/>
  <c r="T266" i="21"/>
  <c r="F268" i="21"/>
  <c r="C268" i="21"/>
  <c r="Q267" i="21"/>
  <c r="J268" i="21"/>
  <c r="G268" i="21"/>
  <c r="V267" i="21"/>
  <c r="E268" i="21"/>
  <c r="K268" i="21"/>
  <c r="O267" i="21"/>
  <c r="S267" i="21"/>
  <c r="B268" i="21"/>
  <c r="P267" i="21"/>
  <c r="I268" i="21"/>
  <c r="I98" i="21" l="1"/>
  <c r="L97" i="21"/>
  <c r="T97" i="21"/>
  <c r="M97" i="21"/>
  <c r="C269" i="21"/>
  <c r="O268" i="21"/>
  <c r="V268" i="21"/>
  <c r="K269" i="21"/>
  <c r="E269" i="21"/>
  <c r="F269" i="21"/>
  <c r="Q268" i="21"/>
  <c r="B269" i="21"/>
  <c r="P268" i="21"/>
  <c r="S268" i="21"/>
  <c r="J269" i="21"/>
  <c r="I269" i="21"/>
  <c r="G269" i="21"/>
  <c r="T267" i="21"/>
  <c r="U267" i="21"/>
  <c r="M267" i="21"/>
  <c r="L267" i="21"/>
  <c r="S98" i="21" l="1"/>
  <c r="U97" i="21"/>
  <c r="K98" i="21"/>
  <c r="Q97" i="21"/>
  <c r="E270" i="21"/>
  <c r="V269" i="21"/>
  <c r="K270" i="21"/>
  <c r="P269" i="21"/>
  <c r="F270" i="21"/>
  <c r="O269" i="21"/>
  <c r="S269" i="21"/>
  <c r="B270" i="21"/>
  <c r="J270" i="21"/>
  <c r="Q269" i="21"/>
  <c r="I270" i="21"/>
  <c r="C270" i="21"/>
  <c r="G270" i="21"/>
  <c r="T268" i="21"/>
  <c r="U268" i="21"/>
  <c r="L268" i="21"/>
  <c r="M268" i="21"/>
  <c r="J98" i="21" l="1"/>
  <c r="L98" i="21" s="1"/>
  <c r="V98" i="21"/>
  <c r="E271" i="21"/>
  <c r="C271" i="21"/>
  <c r="P270" i="21"/>
  <c r="F271" i="21"/>
  <c r="K271" i="21"/>
  <c r="V270" i="21"/>
  <c r="B271" i="21"/>
  <c r="Q270" i="21"/>
  <c r="G271" i="21"/>
  <c r="I271" i="21"/>
  <c r="J271" i="21"/>
  <c r="O270" i="21"/>
  <c r="S270" i="21"/>
  <c r="M269" i="21"/>
  <c r="L269" i="21"/>
  <c r="U269" i="21"/>
  <c r="T269" i="21"/>
  <c r="T98" i="21" l="1"/>
  <c r="U98" i="21" s="1"/>
  <c r="M98" i="21"/>
  <c r="I99" i="21"/>
  <c r="C272" i="21"/>
  <c r="O271" i="21"/>
  <c r="B272" i="21"/>
  <c r="E272" i="21"/>
  <c r="S271" i="21"/>
  <c r="V271" i="21"/>
  <c r="P271" i="21"/>
  <c r="Q271" i="21"/>
  <c r="F272" i="21"/>
  <c r="I272" i="21"/>
  <c r="J272" i="21"/>
  <c r="G272" i="21"/>
  <c r="K272" i="21"/>
  <c r="L270" i="21"/>
  <c r="T270" i="21"/>
  <c r="U270" i="21"/>
  <c r="M270" i="21"/>
  <c r="Q98" i="21" l="1"/>
  <c r="S99" i="21"/>
  <c r="K99" i="21"/>
  <c r="F273" i="21"/>
  <c r="J273" i="21"/>
  <c r="S272" i="21"/>
  <c r="G273" i="21"/>
  <c r="B273" i="21"/>
  <c r="I273" i="21"/>
  <c r="O272" i="21"/>
  <c r="P272" i="21"/>
  <c r="C273" i="21"/>
  <c r="Q272" i="21"/>
  <c r="K273" i="21"/>
  <c r="E273" i="21"/>
  <c r="V272" i="21"/>
  <c r="L271" i="21"/>
  <c r="U271" i="21"/>
  <c r="T271" i="21"/>
  <c r="M271" i="21"/>
  <c r="J99" i="21" l="1"/>
  <c r="V99" i="21"/>
  <c r="T272" i="21"/>
  <c r="L272" i="21"/>
  <c r="U272" i="21"/>
  <c r="M272" i="21"/>
  <c r="J274" i="21"/>
  <c r="C274" i="21"/>
  <c r="I274" i="21"/>
  <c r="Q273" i="21"/>
  <c r="B274" i="21"/>
  <c r="E274" i="21"/>
  <c r="K274" i="21"/>
  <c r="V273" i="21"/>
  <c r="P273" i="21"/>
  <c r="F274" i="21"/>
  <c r="O273" i="21"/>
  <c r="S273" i="21"/>
  <c r="G274" i="21"/>
  <c r="I100" i="21" l="1"/>
  <c r="L99" i="21"/>
  <c r="M99" i="21"/>
  <c r="T99" i="21"/>
  <c r="M273" i="21"/>
  <c r="U273" i="21"/>
  <c r="L273" i="21"/>
  <c r="T273" i="21"/>
  <c r="P274" i="21"/>
  <c r="G275" i="21"/>
  <c r="Q274" i="21"/>
  <c r="O274" i="21"/>
  <c r="F275" i="21"/>
  <c r="V274" i="21"/>
  <c r="J275" i="21"/>
  <c r="S274" i="21"/>
  <c r="C275" i="21"/>
  <c r="I275" i="21"/>
  <c r="B275" i="21"/>
  <c r="E275" i="21"/>
  <c r="K275" i="21"/>
  <c r="U99" i="21" l="1"/>
  <c r="S100" i="21"/>
  <c r="K100" i="21"/>
  <c r="Q99" i="21"/>
  <c r="U274" i="21"/>
  <c r="T274" i="21"/>
  <c r="M274" i="21"/>
  <c r="L274" i="21"/>
  <c r="E276" i="21"/>
  <c r="O275" i="21"/>
  <c r="Q275" i="21"/>
  <c r="K276" i="21"/>
  <c r="J276" i="21"/>
  <c r="B276" i="21"/>
  <c r="S275" i="21"/>
  <c r="G276" i="21"/>
  <c r="I276" i="21"/>
  <c r="C276" i="21"/>
  <c r="F276" i="21"/>
  <c r="P275" i="21"/>
  <c r="V275" i="21"/>
  <c r="J100" i="21" l="1"/>
  <c r="L100" i="21" s="1"/>
  <c r="V100" i="21"/>
  <c r="U275" i="21"/>
  <c r="T275" i="21"/>
  <c r="M275" i="21"/>
  <c r="L275" i="21"/>
  <c r="F277" i="21"/>
  <c r="S276" i="21"/>
  <c r="Q276" i="21"/>
  <c r="O276" i="21"/>
  <c r="J277" i="21"/>
  <c r="K277" i="21"/>
  <c r="I277" i="21"/>
  <c r="B277" i="21"/>
  <c r="C277" i="21"/>
  <c r="V276" i="21"/>
  <c r="G277" i="21"/>
  <c r="E277" i="21"/>
  <c r="P276" i="21"/>
  <c r="M100" i="21" l="1"/>
  <c r="T100" i="21"/>
  <c r="Q100" i="21" s="1"/>
  <c r="I101" i="21"/>
  <c r="J278" i="21"/>
  <c r="E278" i="21"/>
  <c r="I278" i="21"/>
  <c r="S277" i="21"/>
  <c r="O277" i="21"/>
  <c r="F278" i="21"/>
  <c r="G278" i="21"/>
  <c r="V277" i="21"/>
  <c r="P277" i="21"/>
  <c r="K278" i="21"/>
  <c r="B278" i="21"/>
  <c r="Q277" i="21"/>
  <c r="C278" i="21"/>
  <c r="U276" i="21"/>
  <c r="M276" i="21"/>
  <c r="T276" i="21"/>
  <c r="L276" i="21"/>
  <c r="K101" i="21" l="1"/>
  <c r="U100" i="21"/>
  <c r="S101" i="21"/>
  <c r="T277" i="21"/>
  <c r="M277" i="21"/>
  <c r="L277" i="21"/>
  <c r="U277" i="21"/>
  <c r="O278" i="21"/>
  <c r="V278" i="21"/>
  <c r="S278" i="21"/>
  <c r="J279" i="21"/>
  <c r="B279" i="21"/>
  <c r="I279" i="21"/>
  <c r="K279" i="21"/>
  <c r="G279" i="21"/>
  <c r="Q278" i="21"/>
  <c r="P278" i="21"/>
  <c r="C279" i="21"/>
  <c r="F279" i="21"/>
  <c r="E279" i="21"/>
  <c r="J101" i="21" l="1"/>
  <c r="M101" i="21" s="1"/>
  <c r="V101" i="21"/>
  <c r="L278" i="21"/>
  <c r="M278" i="21"/>
  <c r="U278" i="21"/>
  <c r="T278" i="21"/>
  <c r="C280" i="21"/>
  <c r="J280" i="21"/>
  <c r="Q279" i="21"/>
  <c r="V279" i="21"/>
  <c r="E280" i="21"/>
  <c r="O279" i="21"/>
  <c r="I280" i="21"/>
  <c r="G280" i="21"/>
  <c r="K280" i="21"/>
  <c r="B280" i="21"/>
  <c r="S279" i="21"/>
  <c r="P279" i="21"/>
  <c r="F280" i="21"/>
  <c r="L101" i="21" l="1"/>
  <c r="I102" i="21"/>
  <c r="T101" i="21"/>
  <c r="U279" i="21"/>
  <c r="T279" i="21"/>
  <c r="M279" i="21"/>
  <c r="L279" i="21"/>
  <c r="B281" i="21"/>
  <c r="F281" i="21"/>
  <c r="Q280" i="21"/>
  <c r="I281" i="21"/>
  <c r="P280" i="21"/>
  <c r="O280" i="21"/>
  <c r="S280" i="21"/>
  <c r="E281" i="21"/>
  <c r="J281" i="21"/>
  <c r="G281" i="21"/>
  <c r="V280" i="21"/>
  <c r="C281" i="21"/>
  <c r="K281" i="21"/>
  <c r="U101" i="21" l="1"/>
  <c r="S102" i="21"/>
  <c r="K102" i="21"/>
  <c r="Q101" i="21"/>
  <c r="U280" i="21"/>
  <c r="M280" i="21"/>
  <c r="T280" i="21"/>
  <c r="L280" i="21"/>
  <c r="C282" i="21"/>
  <c r="Q281" i="21"/>
  <c r="I282" i="21"/>
  <c r="B282" i="21"/>
  <c r="E282" i="21"/>
  <c r="G282" i="21"/>
  <c r="V281" i="21"/>
  <c r="P281" i="21"/>
  <c r="J282" i="21"/>
  <c r="S281" i="21"/>
  <c r="O281" i="21"/>
  <c r="K282" i="21"/>
  <c r="F282" i="21"/>
  <c r="J102" i="21" l="1"/>
  <c r="T102" i="21" s="1"/>
  <c r="V102" i="21"/>
  <c r="E283" i="21"/>
  <c r="G283" i="21"/>
  <c r="Q282" i="21"/>
  <c r="P282" i="21"/>
  <c r="V282" i="21"/>
  <c r="K283" i="21"/>
  <c r="O282" i="21"/>
  <c r="C283" i="21"/>
  <c r="F283" i="21"/>
  <c r="S282" i="21"/>
  <c r="I283" i="21"/>
  <c r="J283" i="21"/>
  <c r="B283" i="21"/>
  <c r="L281" i="21"/>
  <c r="T281" i="21"/>
  <c r="M281" i="21"/>
  <c r="U281" i="21"/>
  <c r="L102" i="21" l="1"/>
  <c r="M102" i="21"/>
  <c r="U102" i="21"/>
  <c r="S103" i="21"/>
  <c r="Q102" i="21"/>
  <c r="I103" i="21"/>
  <c r="L282" i="21"/>
  <c r="M282" i="21"/>
  <c r="U282" i="21"/>
  <c r="T282" i="21"/>
  <c r="P283" i="21"/>
  <c r="F284" i="21"/>
  <c r="K284" i="21"/>
  <c r="C284" i="21"/>
  <c r="G284" i="21"/>
  <c r="S283" i="21"/>
  <c r="J284" i="21"/>
  <c r="Q283" i="21"/>
  <c r="I284" i="21"/>
  <c r="V283" i="21"/>
  <c r="O283" i="21"/>
  <c r="E284" i="21"/>
  <c r="B284" i="21"/>
  <c r="K103" i="21" l="1"/>
  <c r="U283" i="21"/>
  <c r="L283" i="21"/>
  <c r="T283" i="21"/>
  <c r="M283" i="21"/>
  <c r="G285" i="21"/>
  <c r="C285" i="21"/>
  <c r="K285" i="21"/>
  <c r="V284" i="21"/>
  <c r="P284" i="21"/>
  <c r="J285" i="21"/>
  <c r="S284" i="21"/>
  <c r="I285" i="21"/>
  <c r="B285" i="21"/>
  <c r="E285" i="21"/>
  <c r="Q284" i="21"/>
  <c r="O284" i="21"/>
  <c r="F285" i="21"/>
  <c r="J103" i="21" l="1"/>
  <c r="V103" i="21"/>
  <c r="M284" i="21"/>
  <c r="L284" i="21"/>
  <c r="T284" i="21"/>
  <c r="U284" i="21"/>
  <c r="E286" i="21"/>
  <c r="P285" i="21"/>
  <c r="I286" i="21"/>
  <c r="F286" i="21"/>
  <c r="B286" i="21"/>
  <c r="K286" i="21"/>
  <c r="C286" i="21"/>
  <c r="V285" i="21"/>
  <c r="J286" i="21"/>
  <c r="Q285" i="21"/>
  <c r="G286" i="21"/>
  <c r="S285" i="21"/>
  <c r="O285" i="21"/>
  <c r="I104" i="21" l="1"/>
  <c r="M103" i="21"/>
  <c r="T103" i="21"/>
  <c r="L103" i="21"/>
  <c r="M285" i="21"/>
  <c r="L285" i="21"/>
  <c r="U285" i="21"/>
  <c r="T285" i="21"/>
  <c r="C287" i="21"/>
  <c r="G287" i="21"/>
  <c r="S286" i="21"/>
  <c r="E287" i="21"/>
  <c r="V286" i="21"/>
  <c r="J287" i="21"/>
  <c r="P286" i="21"/>
  <c r="Q286" i="21"/>
  <c r="F287" i="21"/>
  <c r="I287" i="21"/>
  <c r="B287" i="21"/>
  <c r="O286" i="21"/>
  <c r="K287" i="21"/>
  <c r="S104" i="21" l="1"/>
  <c r="U103" i="21"/>
  <c r="K104" i="21"/>
  <c r="Q103" i="21"/>
  <c r="P287" i="21"/>
  <c r="F288" i="21"/>
  <c r="K288" i="21"/>
  <c r="O287" i="21"/>
  <c r="C288" i="21"/>
  <c r="V287" i="21"/>
  <c r="Q287" i="21"/>
  <c r="B288" i="21"/>
  <c r="I288" i="21"/>
  <c r="E288" i="21"/>
  <c r="J288" i="21"/>
  <c r="G288" i="21"/>
  <c r="S287" i="21"/>
  <c r="T286" i="21"/>
  <c r="L286" i="21"/>
  <c r="U286" i="21"/>
  <c r="M286" i="21"/>
  <c r="J104" i="21" l="1"/>
  <c r="L104" i="21" s="1"/>
  <c r="V104" i="21"/>
  <c r="F289" i="21"/>
  <c r="B289" i="21"/>
  <c r="Q288" i="21"/>
  <c r="J289" i="21"/>
  <c r="C289" i="21"/>
  <c r="K289" i="21"/>
  <c r="P288" i="21"/>
  <c r="I289" i="21"/>
  <c r="V288" i="21"/>
  <c r="G289" i="21"/>
  <c r="E289" i="21"/>
  <c r="O288" i="21"/>
  <c r="S288" i="21"/>
  <c r="M287" i="21"/>
  <c r="L287" i="21"/>
  <c r="T287" i="21"/>
  <c r="U287" i="21"/>
  <c r="M104" i="21" l="1"/>
  <c r="T104" i="21"/>
  <c r="Q104" i="21" s="1"/>
  <c r="I105" i="21"/>
  <c r="G290" i="21"/>
  <c r="B290" i="21"/>
  <c r="K290" i="21"/>
  <c r="O289" i="21"/>
  <c r="V289" i="21"/>
  <c r="E290" i="21"/>
  <c r="C290" i="21"/>
  <c r="P289" i="21"/>
  <c r="S289" i="21"/>
  <c r="J290" i="21"/>
  <c r="I290" i="21"/>
  <c r="F290" i="21"/>
  <c r="Q289" i="21"/>
  <c r="T288" i="21"/>
  <c r="M288" i="21"/>
  <c r="L288" i="21"/>
  <c r="U288" i="21"/>
  <c r="K105" i="21" l="1"/>
  <c r="U104" i="21"/>
  <c r="S105" i="21"/>
  <c r="B291" i="21"/>
  <c r="G291" i="21"/>
  <c r="F291" i="21"/>
  <c r="O290" i="21"/>
  <c r="I291" i="21"/>
  <c r="S290" i="21"/>
  <c r="E291" i="21"/>
  <c r="J291" i="21"/>
  <c r="K291" i="21"/>
  <c r="C291" i="21"/>
  <c r="Q290" i="21"/>
  <c r="V290" i="21"/>
  <c r="P290" i="21"/>
  <c r="M289" i="21"/>
  <c r="T289" i="21"/>
  <c r="L289" i="21"/>
  <c r="U289" i="21"/>
  <c r="J105" i="21" l="1"/>
  <c r="V105" i="21"/>
  <c r="U290" i="21"/>
  <c r="M290" i="21"/>
  <c r="L290" i="21"/>
  <c r="T290" i="21"/>
  <c r="O291" i="21"/>
  <c r="C292" i="21"/>
  <c r="Q291" i="21"/>
  <c r="V291" i="21"/>
  <c r="B292" i="21"/>
  <c r="E292" i="21"/>
  <c r="S291" i="21"/>
  <c r="P291" i="21"/>
  <c r="I292" i="21"/>
  <c r="G292" i="21"/>
  <c r="J292" i="21"/>
  <c r="K292" i="21"/>
  <c r="F292" i="21"/>
  <c r="I106" i="21" l="1"/>
  <c r="L105" i="21"/>
  <c r="M105" i="21"/>
  <c r="T105" i="21"/>
  <c r="M291" i="21"/>
  <c r="T291" i="21"/>
  <c r="U291" i="21"/>
  <c r="L291" i="21"/>
  <c r="E293" i="21"/>
  <c r="V292" i="21"/>
  <c r="Q292" i="21"/>
  <c r="O292" i="21"/>
  <c r="F293" i="21"/>
  <c r="B293" i="21"/>
  <c r="K293" i="21"/>
  <c r="P292" i="21"/>
  <c r="C293" i="21"/>
  <c r="S292" i="21"/>
  <c r="G293" i="21"/>
  <c r="I293" i="21"/>
  <c r="J293" i="21"/>
  <c r="U105" i="21" l="1"/>
  <c r="S106" i="21"/>
  <c r="K106" i="21"/>
  <c r="Q105" i="21"/>
  <c r="T292" i="21"/>
  <c r="M292" i="21"/>
  <c r="U292" i="21"/>
  <c r="L292" i="21"/>
  <c r="B294" i="21"/>
  <c r="P293" i="21"/>
  <c r="S293" i="21"/>
  <c r="E294" i="21"/>
  <c r="O293" i="21"/>
  <c r="V293" i="21"/>
  <c r="Q293" i="21"/>
  <c r="C294" i="21"/>
  <c r="F294" i="21"/>
  <c r="I294" i="21"/>
  <c r="J294" i="21"/>
  <c r="K294" i="21"/>
  <c r="G294" i="21"/>
  <c r="J106" i="21" l="1"/>
  <c r="L106" i="21" s="1"/>
  <c r="V106" i="21"/>
  <c r="M293" i="21"/>
  <c r="U293" i="21"/>
  <c r="T293" i="21"/>
  <c r="L293" i="21"/>
  <c r="C295" i="21"/>
  <c r="B295" i="21"/>
  <c r="I295" i="21"/>
  <c r="J295" i="21"/>
  <c r="G295" i="21"/>
  <c r="S294" i="21"/>
  <c r="P294" i="21"/>
  <c r="Q294" i="21"/>
  <c r="E295" i="21"/>
  <c r="V294" i="21"/>
  <c r="K295" i="21"/>
  <c r="F295" i="21"/>
  <c r="O294" i="21"/>
  <c r="M106" i="21" l="1"/>
  <c r="T106" i="21"/>
  <c r="Q106" i="21" s="1"/>
  <c r="I107" i="21"/>
  <c r="T294" i="21"/>
  <c r="L294" i="21"/>
  <c r="M294" i="21"/>
  <c r="U294" i="21"/>
  <c r="F296" i="21"/>
  <c r="P295" i="21"/>
  <c r="Q295" i="21"/>
  <c r="G296" i="21"/>
  <c r="E296" i="21"/>
  <c r="K296" i="21"/>
  <c r="B296" i="21"/>
  <c r="V295" i="21"/>
  <c r="S295" i="21"/>
  <c r="C296" i="21"/>
  <c r="J296" i="21"/>
  <c r="I296" i="21"/>
  <c r="O295" i="21"/>
  <c r="K107" i="21" l="1"/>
  <c r="U106" i="21"/>
  <c r="S107" i="21"/>
  <c r="M295" i="21"/>
  <c r="U295" i="21"/>
  <c r="T295" i="21"/>
  <c r="L295" i="21"/>
  <c r="G297" i="21"/>
  <c r="O296" i="21"/>
  <c r="S296" i="21"/>
  <c r="C297" i="21"/>
  <c r="J297" i="21"/>
  <c r="K297" i="21"/>
  <c r="V296" i="21"/>
  <c r="B297" i="21"/>
  <c r="E297" i="21"/>
  <c r="Q296" i="21"/>
  <c r="F297" i="21"/>
  <c r="P296" i="21"/>
  <c r="I297" i="21"/>
  <c r="J107" i="21" l="1"/>
  <c r="V107" i="21"/>
  <c r="F298" i="21"/>
  <c r="S297" i="21"/>
  <c r="C298" i="21"/>
  <c r="G298" i="21"/>
  <c r="K298" i="21"/>
  <c r="I298" i="21"/>
  <c r="P297" i="21"/>
  <c r="B298" i="21"/>
  <c r="V297" i="21"/>
  <c r="Q297" i="21"/>
  <c r="E298" i="21"/>
  <c r="J298" i="21"/>
  <c r="O297" i="21"/>
  <c r="U296" i="21"/>
  <c r="M296" i="21"/>
  <c r="T296" i="21"/>
  <c r="L296" i="21"/>
  <c r="I108" i="21" l="1"/>
  <c r="M107" i="21"/>
  <c r="L107" i="21"/>
  <c r="T107" i="21"/>
  <c r="F299" i="21"/>
  <c r="C299" i="21"/>
  <c r="Q298" i="21"/>
  <c r="O298" i="21"/>
  <c r="G299" i="21"/>
  <c r="V298" i="21"/>
  <c r="I299" i="21"/>
  <c r="E299" i="21"/>
  <c r="K299" i="21"/>
  <c r="P298" i="21"/>
  <c r="S298" i="21"/>
  <c r="B299" i="21"/>
  <c r="J299" i="21"/>
  <c r="T297" i="21"/>
  <c r="L297" i="21"/>
  <c r="U297" i="21"/>
  <c r="M297" i="21"/>
  <c r="U107" i="21" l="1"/>
  <c r="S108" i="21"/>
  <c r="K108" i="21"/>
  <c r="Q107" i="21"/>
  <c r="E300" i="21"/>
  <c r="P299" i="21"/>
  <c r="I300" i="21"/>
  <c r="O299" i="21"/>
  <c r="B300" i="21"/>
  <c r="S299" i="21"/>
  <c r="G300" i="21"/>
  <c r="Q299" i="21"/>
  <c r="V299" i="21"/>
  <c r="K300" i="21"/>
  <c r="C300" i="21"/>
  <c r="F300" i="21"/>
  <c r="J300" i="21"/>
  <c r="M298" i="21"/>
  <c r="L298" i="21"/>
  <c r="T298" i="21"/>
  <c r="U298" i="21"/>
  <c r="J108" i="21" l="1"/>
  <c r="M108" i="21" s="1"/>
  <c r="V108" i="21"/>
  <c r="U299" i="21"/>
  <c r="T299" i="21"/>
  <c r="L299" i="21"/>
  <c r="M299" i="21"/>
  <c r="B301" i="21"/>
  <c r="F301" i="21"/>
  <c r="V300" i="21"/>
  <c r="S300" i="21"/>
  <c r="C301" i="21"/>
  <c r="J301" i="21"/>
  <c r="I301" i="21"/>
  <c r="G301" i="21"/>
  <c r="P300" i="21"/>
  <c r="K301" i="21"/>
  <c r="Q300" i="21"/>
  <c r="E301" i="21"/>
  <c r="O300" i="21"/>
  <c r="T108" i="21" l="1"/>
  <c r="S109" i="21" s="1"/>
  <c r="L108" i="21"/>
  <c r="U108" i="21"/>
  <c r="Q108" i="21"/>
  <c r="I109" i="21"/>
  <c r="T300" i="21"/>
  <c r="U300" i="21"/>
  <c r="L300" i="21"/>
  <c r="M300" i="21"/>
  <c r="O301" i="21"/>
  <c r="E302" i="21"/>
  <c r="V301" i="21"/>
  <c r="G302" i="21"/>
  <c r="B302" i="21"/>
  <c r="Q301" i="21"/>
  <c r="I302" i="21"/>
  <c r="P301" i="21"/>
  <c r="K302" i="21"/>
  <c r="C302" i="21"/>
  <c r="J302" i="21"/>
  <c r="F302" i="21"/>
  <c r="S301" i="21"/>
  <c r="K109" i="21" l="1"/>
  <c r="M301" i="21"/>
  <c r="U301" i="21"/>
  <c r="T301" i="21"/>
  <c r="L301" i="21"/>
  <c r="O302" i="21"/>
  <c r="F303" i="21"/>
  <c r="K303" i="21"/>
  <c r="I303" i="21"/>
  <c r="P302" i="21"/>
  <c r="G303" i="21"/>
  <c r="S302" i="21"/>
  <c r="J303" i="21"/>
  <c r="V302" i="21"/>
  <c r="B303" i="21"/>
  <c r="E303" i="21"/>
  <c r="C303" i="21"/>
  <c r="Q302" i="21"/>
  <c r="J109" i="21" l="1"/>
  <c r="L109" i="21" s="1"/>
  <c r="V109" i="21"/>
  <c r="U302" i="21"/>
  <c r="M302" i="21"/>
  <c r="L302" i="21"/>
  <c r="T302" i="21"/>
  <c r="C304" i="21"/>
  <c r="P303" i="21"/>
  <c r="K304" i="21"/>
  <c r="O303" i="21"/>
  <c r="G304" i="21"/>
  <c r="S303" i="21"/>
  <c r="B304" i="21"/>
  <c r="I304" i="21"/>
  <c r="E304" i="21"/>
  <c r="Q303" i="21"/>
  <c r="J304" i="21"/>
  <c r="F304" i="21"/>
  <c r="V303" i="21"/>
  <c r="M109" i="21" l="1"/>
  <c r="T109" i="21"/>
  <c r="I110" i="21"/>
  <c r="J305" i="21"/>
  <c r="C305" i="21"/>
  <c r="V304" i="21"/>
  <c r="E305" i="21"/>
  <c r="P304" i="21"/>
  <c r="Q304" i="21"/>
  <c r="G305" i="21"/>
  <c r="K305" i="21"/>
  <c r="B305" i="21"/>
  <c r="F305" i="21"/>
  <c r="S304" i="21"/>
  <c r="I305" i="21"/>
  <c r="O304" i="21"/>
  <c r="T303" i="21"/>
  <c r="L303" i="21"/>
  <c r="U303" i="21"/>
  <c r="M303" i="21"/>
  <c r="K110" i="21" l="1"/>
  <c r="S110" i="21"/>
  <c r="U109" i="21"/>
  <c r="Q109" i="21"/>
  <c r="M304" i="21"/>
  <c r="L304" i="21"/>
  <c r="U304" i="21"/>
  <c r="T304" i="21"/>
  <c r="E306" i="21"/>
  <c r="C306" i="21"/>
  <c r="V305" i="21"/>
  <c r="Q305" i="21"/>
  <c r="F306" i="21"/>
  <c r="J306" i="21"/>
  <c r="I306" i="21"/>
  <c r="O305" i="21"/>
  <c r="K306" i="21"/>
  <c r="B306" i="21"/>
  <c r="G306" i="21"/>
  <c r="P305" i="21"/>
  <c r="S305" i="21"/>
  <c r="J110" i="21" l="1"/>
  <c r="V110" i="21"/>
  <c r="C307" i="21"/>
  <c r="B307" i="21"/>
  <c r="K307" i="21"/>
  <c r="O306" i="21"/>
  <c r="G307" i="21"/>
  <c r="S306" i="21"/>
  <c r="F307" i="21"/>
  <c r="J307" i="21"/>
  <c r="I307" i="21"/>
  <c r="E307" i="21"/>
  <c r="P306" i="21"/>
  <c r="V306" i="21"/>
  <c r="Q306" i="21"/>
  <c r="M305" i="21"/>
  <c r="U305" i="21"/>
  <c r="L305" i="21"/>
  <c r="T305" i="21"/>
  <c r="I111" i="21" l="1"/>
  <c r="L110" i="21"/>
  <c r="T110" i="21"/>
  <c r="M110" i="21"/>
  <c r="T306" i="21"/>
  <c r="U306" i="21"/>
  <c r="M306" i="21"/>
  <c r="L306" i="21"/>
  <c r="C308" i="21"/>
  <c r="E308" i="21"/>
  <c r="I308" i="21"/>
  <c r="J308" i="21"/>
  <c r="O307" i="21"/>
  <c r="V307" i="21"/>
  <c r="K308" i="21"/>
  <c r="F308" i="21"/>
  <c r="G308" i="21"/>
  <c r="Q307" i="21"/>
  <c r="P307" i="21"/>
  <c r="S307" i="21"/>
  <c r="B308" i="21"/>
  <c r="U110" i="21" l="1"/>
  <c r="S111" i="21"/>
  <c r="K111" i="21"/>
  <c r="Q110" i="21"/>
  <c r="T307" i="21"/>
  <c r="U307" i="21"/>
  <c r="M307" i="21"/>
  <c r="L307" i="21"/>
  <c r="O308" i="21"/>
  <c r="G309" i="21"/>
  <c r="V308" i="21"/>
  <c r="C309" i="21"/>
  <c r="F309" i="21"/>
  <c r="I309" i="21"/>
  <c r="J309" i="21"/>
  <c r="Q308" i="21"/>
  <c r="P308" i="21"/>
  <c r="S308" i="21"/>
  <c r="K309" i="21"/>
  <c r="B309" i="21"/>
  <c r="E309" i="21"/>
  <c r="J111" i="21" l="1"/>
  <c r="M111" i="21" s="1"/>
  <c r="V111" i="21"/>
  <c r="O309" i="21"/>
  <c r="F310" i="21"/>
  <c r="S309" i="21"/>
  <c r="B310" i="21"/>
  <c r="E310" i="21"/>
  <c r="V309" i="21"/>
  <c r="K310" i="21"/>
  <c r="G310" i="21"/>
  <c r="J310" i="21"/>
  <c r="Q309" i="21"/>
  <c r="P309" i="21"/>
  <c r="C310" i="21"/>
  <c r="I310" i="21"/>
  <c r="M308" i="21"/>
  <c r="T308" i="21"/>
  <c r="U308" i="21"/>
  <c r="L308" i="21"/>
  <c r="T111" i="21" l="1"/>
  <c r="U111" i="21" s="1"/>
  <c r="L111" i="21"/>
  <c r="Q111" i="21"/>
  <c r="I112" i="21"/>
  <c r="P310" i="21"/>
  <c r="E311" i="21"/>
  <c r="V310" i="21"/>
  <c r="C311" i="21"/>
  <c r="F311" i="21"/>
  <c r="I311" i="21"/>
  <c r="J311" i="21"/>
  <c r="S310" i="21"/>
  <c r="O310" i="21"/>
  <c r="K311" i="21"/>
  <c r="Q310" i="21"/>
  <c r="G311" i="21"/>
  <c r="B311" i="21"/>
  <c r="T309" i="21"/>
  <c r="L309" i="21"/>
  <c r="M309" i="21"/>
  <c r="U309" i="21"/>
  <c r="S112" i="21" l="1"/>
  <c r="K112" i="21"/>
  <c r="T310" i="21"/>
  <c r="L310" i="21"/>
  <c r="M310" i="21"/>
  <c r="U310" i="21"/>
  <c r="O311" i="21"/>
  <c r="C312" i="21"/>
  <c r="S311" i="21"/>
  <c r="P311" i="21"/>
  <c r="E312" i="21"/>
  <c r="Q311" i="21"/>
  <c r="J312" i="21"/>
  <c r="K312" i="21"/>
  <c r="B312" i="21"/>
  <c r="V311" i="21"/>
  <c r="I312" i="21"/>
  <c r="F312" i="21"/>
  <c r="G312" i="21"/>
  <c r="J112" i="21" l="1"/>
  <c r="V112" i="21"/>
  <c r="L311" i="21"/>
  <c r="M311" i="21"/>
  <c r="U311" i="21"/>
  <c r="T311" i="21"/>
  <c r="O312" i="21"/>
  <c r="F313" i="21"/>
  <c r="S312" i="21"/>
  <c r="C313" i="21"/>
  <c r="E313" i="21"/>
  <c r="I313" i="21"/>
  <c r="J313" i="21"/>
  <c r="V312" i="21"/>
  <c r="K313" i="21"/>
  <c r="Q312" i="21"/>
  <c r="P312" i="21"/>
  <c r="G313" i="21"/>
  <c r="B313" i="21"/>
  <c r="I113" i="21" l="1"/>
  <c r="L112" i="21"/>
  <c r="M112" i="21"/>
  <c r="T112" i="21"/>
  <c r="T312" i="21"/>
  <c r="M312" i="21"/>
  <c r="U312" i="21"/>
  <c r="L312" i="21"/>
  <c r="B314" i="21"/>
  <c r="F314" i="21"/>
  <c r="Q313" i="21"/>
  <c r="O313" i="21"/>
  <c r="P313" i="21"/>
  <c r="S313" i="21"/>
  <c r="C314" i="21"/>
  <c r="I314" i="21"/>
  <c r="E314" i="21"/>
  <c r="V313" i="21"/>
  <c r="G314" i="21"/>
  <c r="J314" i="21"/>
  <c r="K314" i="21"/>
  <c r="U112" i="21" l="1"/>
  <c r="S113" i="21"/>
  <c r="K113" i="21"/>
  <c r="Q112" i="21"/>
  <c r="M313" i="21"/>
  <c r="L313" i="21"/>
  <c r="U313" i="21"/>
  <c r="T313" i="21"/>
  <c r="F315" i="21"/>
  <c r="B315" i="21"/>
  <c r="Q314" i="21"/>
  <c r="K315" i="21"/>
  <c r="G315" i="21"/>
  <c r="E315" i="21"/>
  <c r="S314" i="21"/>
  <c r="C315" i="21"/>
  <c r="I315" i="21"/>
  <c r="O314" i="21"/>
  <c r="V314" i="21"/>
  <c r="P314" i="21"/>
  <c r="J315" i="21"/>
  <c r="J113" i="21" l="1"/>
  <c r="T113" i="21" s="1"/>
  <c r="V113" i="21"/>
  <c r="T314" i="21"/>
  <c r="U314" i="21"/>
  <c r="M314" i="21"/>
  <c r="L314" i="21"/>
  <c r="E316" i="21"/>
  <c r="I316" i="21"/>
  <c r="Q315" i="21"/>
  <c r="O315" i="21"/>
  <c r="J316" i="21"/>
  <c r="G316" i="21"/>
  <c r="V315" i="21"/>
  <c r="B316" i="21"/>
  <c r="C316" i="21"/>
  <c r="K316" i="21"/>
  <c r="S315" i="21"/>
  <c r="P315" i="21"/>
  <c r="F316" i="21"/>
  <c r="L113" i="21" l="1"/>
  <c r="M113" i="21"/>
  <c r="U113" i="21"/>
  <c r="S114" i="21"/>
  <c r="Q113" i="21"/>
  <c r="I114" i="21"/>
  <c r="C317" i="21"/>
  <c r="E317" i="21"/>
  <c r="S316" i="21"/>
  <c r="P316" i="21"/>
  <c r="O316" i="21"/>
  <c r="V316" i="21"/>
  <c r="J317" i="21"/>
  <c r="F317" i="21"/>
  <c r="I317" i="21"/>
  <c r="Q316" i="21"/>
  <c r="G317" i="21"/>
  <c r="B317" i="21"/>
  <c r="K317" i="21"/>
  <c r="U315" i="21"/>
  <c r="T315" i="21"/>
  <c r="L315" i="21"/>
  <c r="M315" i="21"/>
  <c r="K114" i="21" l="1"/>
  <c r="P317" i="21"/>
  <c r="J318" i="21"/>
  <c r="Q317" i="21"/>
  <c r="C318" i="21"/>
  <c r="E318" i="21"/>
  <c r="I318" i="21"/>
  <c r="G318" i="21"/>
  <c r="K318" i="21"/>
  <c r="F318" i="21"/>
  <c r="V317" i="21"/>
  <c r="B318" i="21"/>
  <c r="S317" i="21"/>
  <c r="O317" i="21"/>
  <c r="L316" i="21"/>
  <c r="U316" i="21"/>
  <c r="T316" i="21"/>
  <c r="M316" i="21"/>
  <c r="J114" i="21" l="1"/>
  <c r="V114" i="21"/>
  <c r="M317" i="21"/>
  <c r="U317" i="21"/>
  <c r="L317" i="21"/>
  <c r="T317" i="21"/>
  <c r="J319" i="21"/>
  <c r="E319" i="21"/>
  <c r="V318" i="21"/>
  <c r="G319" i="21"/>
  <c r="C319" i="21"/>
  <c r="I319" i="21"/>
  <c r="B319" i="21"/>
  <c r="Q318" i="21"/>
  <c r="O318" i="21"/>
  <c r="K319" i="21"/>
  <c r="S318" i="21"/>
  <c r="F319" i="21"/>
  <c r="P318" i="21"/>
  <c r="M114" i="21" l="1"/>
  <c r="I115" i="21"/>
  <c r="T114" i="21"/>
  <c r="L114" i="21"/>
  <c r="P319" i="21"/>
  <c r="J320" i="21"/>
  <c r="V319" i="21"/>
  <c r="E320" i="21"/>
  <c r="B320" i="21"/>
  <c r="Q319" i="21"/>
  <c r="G320" i="21"/>
  <c r="K320" i="21"/>
  <c r="C320" i="21"/>
  <c r="S319" i="21"/>
  <c r="I320" i="21"/>
  <c r="O319" i="21"/>
  <c r="F320" i="21"/>
  <c r="L318" i="21"/>
  <c r="U318" i="21"/>
  <c r="M318" i="21"/>
  <c r="T318" i="21"/>
  <c r="U114" i="21" l="1"/>
  <c r="S115" i="21"/>
  <c r="K115" i="21"/>
  <c r="Q114" i="21"/>
  <c r="L319" i="21"/>
  <c r="U319" i="21"/>
  <c r="T319" i="21"/>
  <c r="M319" i="21"/>
  <c r="B321" i="21"/>
  <c r="E321" i="21"/>
  <c r="Q320" i="21"/>
  <c r="P320" i="21"/>
  <c r="F321" i="21"/>
  <c r="S320" i="21"/>
  <c r="J321" i="21"/>
  <c r="V320" i="21"/>
  <c r="O320" i="21"/>
  <c r="K321" i="21"/>
  <c r="C321" i="21"/>
  <c r="I321" i="21"/>
  <c r="G321" i="21"/>
  <c r="J115" i="21" l="1"/>
  <c r="L115" i="21" s="1"/>
  <c r="V115" i="21"/>
  <c r="U320" i="21"/>
  <c r="L320" i="21"/>
  <c r="M320" i="21"/>
  <c r="T320" i="21"/>
  <c r="O321" i="21"/>
  <c r="E322" i="21"/>
  <c r="S321" i="21"/>
  <c r="G322" i="21"/>
  <c r="C322" i="21"/>
  <c r="K322" i="21"/>
  <c r="I322" i="21"/>
  <c r="J322" i="21"/>
  <c r="Q321" i="21"/>
  <c r="F322" i="21"/>
  <c r="B322" i="21"/>
  <c r="P321" i="21"/>
  <c r="V321" i="21"/>
  <c r="T115" i="21" l="1"/>
  <c r="S116" i="21" s="1"/>
  <c r="M115" i="21"/>
  <c r="U115" i="21"/>
  <c r="Q115" i="21"/>
  <c r="I116" i="21"/>
  <c r="J323" i="21"/>
  <c r="O322" i="21"/>
  <c r="V322" i="21"/>
  <c r="G323" i="21"/>
  <c r="C323" i="21"/>
  <c r="I323" i="21"/>
  <c r="P322" i="21"/>
  <c r="B323" i="21"/>
  <c r="E323" i="21"/>
  <c r="K323" i="21"/>
  <c r="Q322" i="21"/>
  <c r="F323" i="21"/>
  <c r="S322" i="21"/>
  <c r="T321" i="21"/>
  <c r="M321" i="21"/>
  <c r="U321" i="21"/>
  <c r="L321" i="21"/>
  <c r="K116" i="21" l="1"/>
  <c r="G324" i="21"/>
  <c r="B324" i="21"/>
  <c r="I324" i="21"/>
  <c r="P323" i="21"/>
  <c r="J324" i="21"/>
  <c r="V323" i="21"/>
  <c r="S323" i="21"/>
  <c r="C324" i="21"/>
  <c r="E324" i="21"/>
  <c r="Q323" i="21"/>
  <c r="F324" i="21"/>
  <c r="K324" i="21"/>
  <c r="O323" i="21"/>
  <c r="U322" i="21"/>
  <c r="M322" i="21"/>
  <c r="L322" i="21"/>
  <c r="T322" i="21"/>
  <c r="J116" i="21" l="1"/>
  <c r="M116" i="21" s="1"/>
  <c r="V116" i="21"/>
  <c r="U323" i="21"/>
  <c r="T323" i="21"/>
  <c r="L323" i="21"/>
  <c r="M323" i="21"/>
  <c r="C325" i="21"/>
  <c r="P324" i="21"/>
  <c r="I325" i="21"/>
  <c r="V324" i="21"/>
  <c r="E325" i="21"/>
  <c r="J325" i="21"/>
  <c r="Q324" i="21"/>
  <c r="G325" i="21"/>
  <c r="K325" i="21"/>
  <c r="O324" i="21"/>
  <c r="F325" i="21"/>
  <c r="B325" i="21"/>
  <c r="S324" i="21"/>
  <c r="L116" i="21" l="1"/>
  <c r="T116" i="21"/>
  <c r="I117" i="21"/>
  <c r="P325" i="21"/>
  <c r="O325" i="21"/>
  <c r="I326" i="21"/>
  <c r="E326" i="21"/>
  <c r="C326" i="21"/>
  <c r="S325" i="21"/>
  <c r="K326" i="21"/>
  <c r="G326" i="21"/>
  <c r="Q325" i="21"/>
  <c r="F326" i="21"/>
  <c r="J326" i="21"/>
  <c r="V325" i="21"/>
  <c r="B326" i="21"/>
  <c r="U324" i="21"/>
  <c r="L324" i="21"/>
  <c r="T324" i="21"/>
  <c r="M324" i="21"/>
  <c r="K117" i="21" l="1"/>
  <c r="U116" i="21"/>
  <c r="S117" i="21"/>
  <c r="Q116" i="21"/>
  <c r="L325" i="21"/>
  <c r="M325" i="21"/>
  <c r="U325" i="21"/>
  <c r="T325" i="21"/>
  <c r="G327" i="21"/>
  <c r="J327" i="21"/>
  <c r="S326" i="21"/>
  <c r="C327" i="21"/>
  <c r="E327" i="21"/>
  <c r="K327" i="21"/>
  <c r="B327" i="21"/>
  <c r="V326" i="21"/>
  <c r="O326" i="21"/>
  <c r="P326" i="21"/>
  <c r="Q326" i="21"/>
  <c r="F327" i="21"/>
  <c r="I327" i="21"/>
  <c r="J117" i="21" l="1"/>
  <c r="T117" i="21" s="1"/>
  <c r="V117" i="21"/>
  <c r="O327" i="21"/>
  <c r="J328" i="21"/>
  <c r="Q327" i="21"/>
  <c r="B328" i="21"/>
  <c r="F328" i="21"/>
  <c r="S327" i="21"/>
  <c r="E328" i="21"/>
  <c r="I328" i="21"/>
  <c r="V327" i="21"/>
  <c r="G328" i="21"/>
  <c r="C328" i="21"/>
  <c r="K328" i="21"/>
  <c r="P327" i="21"/>
  <c r="L326" i="21"/>
  <c r="T326" i="21"/>
  <c r="U326" i="21"/>
  <c r="M326" i="21"/>
  <c r="S118" i="21" l="1"/>
  <c r="U117" i="21"/>
  <c r="Q117" i="21"/>
  <c r="I118" i="21"/>
  <c r="M117" i="21"/>
  <c r="L117" i="21"/>
  <c r="G329" i="21"/>
  <c r="O328" i="21"/>
  <c r="S328" i="21"/>
  <c r="Q328" i="21"/>
  <c r="C329" i="21"/>
  <c r="B329" i="21"/>
  <c r="V328" i="21"/>
  <c r="E329" i="21"/>
  <c r="P328" i="21"/>
  <c r="I329" i="21"/>
  <c r="F329" i="21"/>
  <c r="J329" i="21"/>
  <c r="K329" i="21"/>
  <c r="L327" i="21"/>
  <c r="M327" i="21"/>
  <c r="U327" i="21"/>
  <c r="T327" i="21"/>
  <c r="K118" i="21" l="1"/>
  <c r="T328" i="21"/>
  <c r="L328" i="21"/>
  <c r="M328" i="21"/>
  <c r="U328" i="21"/>
  <c r="C330" i="21"/>
  <c r="E330" i="21"/>
  <c r="K330" i="21"/>
  <c r="P329" i="21"/>
  <c r="V329" i="21"/>
  <c r="S329" i="21"/>
  <c r="B330" i="21"/>
  <c r="I330" i="21"/>
  <c r="F330" i="21"/>
  <c r="J330" i="21"/>
  <c r="G330" i="21"/>
  <c r="O329" i="21"/>
  <c r="Q329" i="21"/>
  <c r="J118" i="21" l="1"/>
  <c r="V118" i="21"/>
  <c r="G331" i="21"/>
  <c r="B331" i="21"/>
  <c r="V330" i="21"/>
  <c r="E331" i="21"/>
  <c r="C331" i="21"/>
  <c r="S330" i="21"/>
  <c r="K331" i="21"/>
  <c r="J331" i="21"/>
  <c r="I331" i="21"/>
  <c r="F331" i="21"/>
  <c r="O330" i="21"/>
  <c r="Q330" i="21"/>
  <c r="P330" i="21"/>
  <c r="L329" i="21"/>
  <c r="T329" i="21"/>
  <c r="U329" i="21"/>
  <c r="M329" i="21"/>
  <c r="I119" i="21" l="1"/>
  <c r="M118" i="21"/>
  <c r="L118" i="21"/>
  <c r="T118" i="21"/>
  <c r="T330" i="21"/>
  <c r="M330" i="21"/>
  <c r="L330" i="21"/>
  <c r="U330" i="21"/>
  <c r="P331" i="21"/>
  <c r="B332" i="21"/>
  <c r="S331" i="21"/>
  <c r="I332" i="21"/>
  <c r="E332" i="21"/>
  <c r="G332" i="21"/>
  <c r="K332" i="21"/>
  <c r="O331" i="21"/>
  <c r="V331" i="21"/>
  <c r="Q331" i="21"/>
  <c r="J332" i="21"/>
  <c r="F332" i="21"/>
  <c r="C332" i="21"/>
  <c r="U118" i="21" l="1"/>
  <c r="S119" i="21"/>
  <c r="K119" i="21"/>
  <c r="Q118" i="21"/>
  <c r="L331" i="21"/>
  <c r="U331" i="21"/>
  <c r="M331" i="21"/>
  <c r="T331" i="21"/>
  <c r="E333" i="21"/>
  <c r="J333" i="21"/>
  <c r="S332" i="21"/>
  <c r="C333" i="21"/>
  <c r="F333" i="21"/>
  <c r="K333" i="21"/>
  <c r="I333" i="21"/>
  <c r="O332" i="21"/>
  <c r="Q332" i="21"/>
  <c r="V332" i="21"/>
  <c r="G333" i="21"/>
  <c r="P332" i="21"/>
  <c r="B333" i="21"/>
  <c r="J119" i="21" l="1"/>
  <c r="T119" i="21" s="1"/>
  <c r="V119" i="21"/>
  <c r="U332" i="21"/>
  <c r="M332" i="21"/>
  <c r="L332" i="21"/>
  <c r="T332" i="21"/>
  <c r="P333" i="21"/>
  <c r="B334" i="21"/>
  <c r="K334" i="21"/>
  <c r="O333" i="21"/>
  <c r="E334" i="21"/>
  <c r="S333" i="21"/>
  <c r="V333" i="21"/>
  <c r="G334" i="21"/>
  <c r="Q333" i="21"/>
  <c r="J334" i="21"/>
  <c r="I334" i="21"/>
  <c r="C334" i="21"/>
  <c r="F334" i="21"/>
  <c r="L119" i="21" l="1"/>
  <c r="S120" i="21"/>
  <c r="U119" i="21"/>
  <c r="M119" i="21"/>
  <c r="Q119" i="21"/>
  <c r="I120" i="21"/>
  <c r="T333" i="21"/>
  <c r="M333" i="21"/>
  <c r="U333" i="21"/>
  <c r="L333" i="21"/>
  <c r="C335" i="21"/>
  <c r="P334" i="21"/>
  <c r="V334" i="21"/>
  <c r="F335" i="21"/>
  <c r="E335" i="21"/>
  <c r="S334" i="21"/>
  <c r="I335" i="21"/>
  <c r="B335" i="21"/>
  <c r="Q334" i="21"/>
  <c r="J335" i="21"/>
  <c r="G335" i="21"/>
  <c r="O334" i="21"/>
  <c r="K335" i="21"/>
  <c r="K120" i="21" l="1"/>
  <c r="G336" i="21"/>
  <c r="E336" i="21"/>
  <c r="K336" i="21"/>
  <c r="B336" i="21"/>
  <c r="P335" i="21"/>
  <c r="Q335" i="21"/>
  <c r="F336" i="21"/>
  <c r="S335" i="21"/>
  <c r="J336" i="21"/>
  <c r="V335" i="21"/>
  <c r="O335" i="21"/>
  <c r="C336" i="21"/>
  <c r="I336" i="21"/>
  <c r="U334" i="21"/>
  <c r="T334" i="21"/>
  <c r="L334" i="21"/>
  <c r="M334" i="21"/>
  <c r="J120" i="21" l="1"/>
  <c r="V120" i="21"/>
  <c r="L335" i="21"/>
  <c r="U335" i="21"/>
  <c r="M335" i="21"/>
  <c r="T335" i="21"/>
  <c r="P336" i="21"/>
  <c r="E337" i="21"/>
  <c r="K337" i="21"/>
  <c r="Q336" i="21"/>
  <c r="C337" i="21"/>
  <c r="B337" i="21"/>
  <c r="S336" i="21"/>
  <c r="O336" i="21"/>
  <c r="V336" i="21"/>
  <c r="J337" i="21"/>
  <c r="F337" i="21"/>
  <c r="G337" i="21"/>
  <c r="I337" i="21"/>
  <c r="I121" i="21" l="1"/>
  <c r="M120" i="21"/>
  <c r="L120" i="21"/>
  <c r="T120" i="21"/>
  <c r="T336" i="21"/>
  <c r="L336" i="21"/>
  <c r="M336" i="21"/>
  <c r="U336" i="21"/>
  <c r="J338" i="21"/>
  <c r="O337" i="21"/>
  <c r="V337" i="21"/>
  <c r="Q337" i="21"/>
  <c r="B338" i="21"/>
  <c r="G338" i="21"/>
  <c r="I338" i="21"/>
  <c r="P337" i="21"/>
  <c r="S337" i="21"/>
  <c r="K338" i="21"/>
  <c r="E338" i="21"/>
  <c r="C338" i="21"/>
  <c r="F338" i="21"/>
  <c r="S121" i="21" l="1"/>
  <c r="U120" i="21"/>
  <c r="K121" i="21"/>
  <c r="Q120" i="21"/>
  <c r="L337" i="21"/>
  <c r="T337" i="21"/>
  <c r="M337" i="21"/>
  <c r="U337" i="21"/>
  <c r="J339" i="21"/>
  <c r="G339" i="21"/>
  <c r="Q338" i="21"/>
  <c r="O338" i="21"/>
  <c r="F339" i="21"/>
  <c r="S338" i="21"/>
  <c r="P338" i="21"/>
  <c r="I339" i="21"/>
  <c r="V338" i="21"/>
  <c r="K339" i="21"/>
  <c r="B339" i="21"/>
  <c r="E339" i="21"/>
  <c r="C339" i="21"/>
  <c r="J121" i="21" l="1"/>
  <c r="M121" i="21" s="1"/>
  <c r="V121" i="21"/>
  <c r="L338" i="21"/>
  <c r="T338" i="21"/>
  <c r="M338" i="21"/>
  <c r="U338" i="21"/>
  <c r="G340" i="21"/>
  <c r="B340" i="21"/>
  <c r="S339" i="21"/>
  <c r="Q339" i="21"/>
  <c r="J340" i="21"/>
  <c r="F340" i="21"/>
  <c r="I340" i="21"/>
  <c r="C340" i="21"/>
  <c r="P339" i="21"/>
  <c r="K340" i="21"/>
  <c r="O339" i="21"/>
  <c r="E340" i="21"/>
  <c r="V339" i="21"/>
  <c r="L121" i="21" l="1"/>
  <c r="T121" i="21"/>
  <c r="Q121" i="21" s="1"/>
  <c r="I122" i="21"/>
  <c r="U339" i="21"/>
  <c r="M339" i="21"/>
  <c r="T339" i="21"/>
  <c r="L339" i="21"/>
  <c r="P340" i="21"/>
  <c r="B341" i="21"/>
  <c r="V340" i="21"/>
  <c r="O340" i="21"/>
  <c r="F341" i="21"/>
  <c r="Q340" i="21"/>
  <c r="C341" i="21"/>
  <c r="K341" i="21"/>
  <c r="G341" i="21"/>
  <c r="J341" i="21"/>
  <c r="I341" i="21"/>
  <c r="E341" i="21"/>
  <c r="S340" i="21"/>
  <c r="K122" i="21" l="1"/>
  <c r="S122" i="21"/>
  <c r="U121" i="21"/>
  <c r="G342" i="21"/>
  <c r="F342" i="21"/>
  <c r="O341" i="21"/>
  <c r="B342" i="21"/>
  <c r="E342" i="21"/>
  <c r="Q341" i="21"/>
  <c r="J342" i="21"/>
  <c r="K342" i="21"/>
  <c r="S341" i="21"/>
  <c r="P341" i="21"/>
  <c r="V341" i="21"/>
  <c r="C342" i="21"/>
  <c r="I342" i="21"/>
  <c r="T340" i="21"/>
  <c r="M340" i="21"/>
  <c r="U340" i="21"/>
  <c r="L340" i="21"/>
  <c r="J122" i="21" l="1"/>
  <c r="V122" i="21"/>
  <c r="F343" i="21"/>
  <c r="C343" i="21"/>
  <c r="K343" i="21"/>
  <c r="I343" i="21"/>
  <c r="G343" i="21"/>
  <c r="E343" i="21"/>
  <c r="Q342" i="21"/>
  <c r="O342" i="21"/>
  <c r="P342" i="21"/>
  <c r="J343" i="21"/>
  <c r="S342" i="21"/>
  <c r="B343" i="21"/>
  <c r="V342" i="21"/>
  <c r="M341" i="21"/>
  <c r="T341" i="21"/>
  <c r="L341" i="21"/>
  <c r="U341" i="21"/>
  <c r="I123" i="21" l="1"/>
  <c r="M122" i="21"/>
  <c r="T122" i="21"/>
  <c r="L122" i="21"/>
  <c r="P343" i="21"/>
  <c r="E344" i="21"/>
  <c r="S343" i="21"/>
  <c r="O343" i="21"/>
  <c r="F344" i="21"/>
  <c r="Q343" i="21"/>
  <c r="K344" i="21"/>
  <c r="J344" i="21"/>
  <c r="I344" i="21"/>
  <c r="B344" i="21"/>
  <c r="C344" i="21"/>
  <c r="G344" i="21"/>
  <c r="V343" i="21"/>
  <c r="T342" i="21"/>
  <c r="U342" i="21"/>
  <c r="L342" i="21"/>
  <c r="M342" i="21"/>
  <c r="S123" i="21" l="1"/>
  <c r="U122" i="21"/>
  <c r="K123" i="21"/>
  <c r="Q122" i="21"/>
  <c r="U343" i="21"/>
  <c r="L343" i="21"/>
  <c r="T343" i="21"/>
  <c r="M343" i="21"/>
  <c r="J345" i="21"/>
  <c r="E345" i="21"/>
  <c r="V344" i="21"/>
  <c r="K345" i="21"/>
  <c r="C345" i="21"/>
  <c r="B345" i="21"/>
  <c r="I345" i="21"/>
  <c r="O344" i="21"/>
  <c r="S344" i="21"/>
  <c r="P344" i="21"/>
  <c r="G345" i="21"/>
  <c r="F345" i="21"/>
  <c r="Q344" i="21"/>
  <c r="J123" i="21" l="1"/>
  <c r="T123" i="21" s="1"/>
  <c r="V123" i="21"/>
  <c r="F346" i="21"/>
  <c r="E346" i="21"/>
  <c r="K346" i="21"/>
  <c r="J346" i="21"/>
  <c r="G346" i="21"/>
  <c r="V345" i="21"/>
  <c r="S345" i="21"/>
  <c r="P345" i="21"/>
  <c r="Q345" i="21"/>
  <c r="C346" i="21"/>
  <c r="B346" i="21"/>
  <c r="O345" i="21"/>
  <c r="I346" i="21"/>
  <c r="U344" i="21"/>
  <c r="T344" i="21"/>
  <c r="L344" i="21"/>
  <c r="M344" i="21"/>
  <c r="L123" i="21" l="1"/>
  <c r="U123" i="21"/>
  <c r="S124" i="21"/>
  <c r="M123" i="21"/>
  <c r="Q123" i="21"/>
  <c r="I124" i="21"/>
  <c r="F347" i="21"/>
  <c r="B347" i="21"/>
  <c r="S346" i="21"/>
  <c r="J347" i="21"/>
  <c r="G347" i="21"/>
  <c r="I347" i="21"/>
  <c r="V346" i="21"/>
  <c r="E347" i="21"/>
  <c r="Q346" i="21"/>
  <c r="K347" i="21"/>
  <c r="P346" i="21"/>
  <c r="C347" i="21"/>
  <c r="O346" i="21"/>
  <c r="M345" i="21"/>
  <c r="L345" i="21"/>
  <c r="U345" i="21"/>
  <c r="T345" i="21"/>
  <c r="K124" i="21" l="1"/>
  <c r="M346" i="21"/>
  <c r="T346" i="21"/>
  <c r="U346" i="21"/>
  <c r="L346" i="21"/>
  <c r="O347" i="21"/>
  <c r="J348" i="21"/>
  <c r="C348" i="21"/>
  <c r="F348" i="21"/>
  <c r="Q347" i="21"/>
  <c r="I348" i="21"/>
  <c r="B348" i="21"/>
  <c r="K348" i="21"/>
  <c r="V347" i="21"/>
  <c r="P347" i="21"/>
  <c r="S347" i="21"/>
  <c r="G348" i="21"/>
  <c r="E348" i="21"/>
  <c r="J124" i="21" l="1"/>
  <c r="V124" i="21"/>
  <c r="L347" i="21"/>
  <c r="U347" i="21"/>
  <c r="M347" i="21"/>
  <c r="T347" i="21"/>
  <c r="O348" i="21"/>
  <c r="F349" i="21"/>
  <c r="V348" i="21"/>
  <c r="E349" i="21"/>
  <c r="B349" i="21"/>
  <c r="J349" i="21"/>
  <c r="S348" i="21"/>
  <c r="I349" i="21"/>
  <c r="P348" i="21"/>
  <c r="C349" i="21"/>
  <c r="G349" i="21"/>
  <c r="K349" i="21"/>
  <c r="Q348" i="21"/>
  <c r="I125" i="21" l="1"/>
  <c r="T124" i="21"/>
  <c r="L124" i="21"/>
  <c r="M124" i="21"/>
  <c r="L348" i="21"/>
  <c r="U348" i="21"/>
  <c r="T348" i="21"/>
  <c r="M348" i="21"/>
  <c r="F350" i="21"/>
  <c r="J350" i="21"/>
  <c r="K350" i="21"/>
  <c r="Q349" i="21"/>
  <c r="E350" i="21"/>
  <c r="I350" i="21"/>
  <c r="B350" i="21"/>
  <c r="C350" i="21"/>
  <c r="G350" i="21"/>
  <c r="S349" i="21"/>
  <c r="P349" i="21"/>
  <c r="O349" i="21"/>
  <c r="V349" i="21"/>
  <c r="U124" i="21" l="1"/>
  <c r="S125" i="21"/>
  <c r="K125" i="21"/>
  <c r="Q124" i="21"/>
  <c r="J351" i="21"/>
  <c r="E351" i="21"/>
  <c r="K351" i="21"/>
  <c r="I351" i="21"/>
  <c r="C351" i="21"/>
  <c r="O350" i="21"/>
  <c r="Q350" i="21"/>
  <c r="F351" i="21"/>
  <c r="P350" i="21"/>
  <c r="G351" i="21"/>
  <c r="V350" i="21"/>
  <c r="S350" i="21"/>
  <c r="B351" i="21"/>
  <c r="U349" i="21"/>
  <c r="M349" i="21"/>
  <c r="T349" i="21"/>
  <c r="L349" i="21"/>
  <c r="J125" i="21" l="1"/>
  <c r="T125" i="21" s="1"/>
  <c r="V125" i="21"/>
  <c r="L350" i="21"/>
  <c r="M350" i="21"/>
  <c r="U350" i="21"/>
  <c r="T350" i="21"/>
  <c r="E352" i="21"/>
  <c r="P351" i="21"/>
  <c r="Q351" i="21"/>
  <c r="G352" i="21"/>
  <c r="J352" i="21"/>
  <c r="C352" i="21"/>
  <c r="S351" i="21"/>
  <c r="K352" i="21"/>
  <c r="F352" i="21"/>
  <c r="B352" i="21"/>
  <c r="V351" i="21"/>
  <c r="O351" i="21"/>
  <c r="I352" i="21"/>
  <c r="L125" i="21" l="1"/>
  <c r="M125" i="21"/>
  <c r="S126" i="21"/>
  <c r="U125" i="21"/>
  <c r="Q125" i="21"/>
  <c r="I126" i="21"/>
  <c r="L351" i="21"/>
  <c r="U351" i="21"/>
  <c r="M351" i="21"/>
  <c r="T351" i="21"/>
  <c r="B353" i="21"/>
  <c r="G353" i="21"/>
  <c r="K353" i="21"/>
  <c r="Q352" i="21"/>
  <c r="J353" i="21"/>
  <c r="C353" i="21"/>
  <c r="E353" i="21"/>
  <c r="V352" i="21"/>
  <c r="O352" i="21"/>
  <c r="P352" i="21"/>
  <c r="F353" i="21"/>
  <c r="I353" i="21"/>
  <c r="S352" i="21"/>
  <c r="K126" i="21" l="1"/>
  <c r="U352" i="21"/>
  <c r="M352" i="21"/>
  <c r="T352" i="21"/>
  <c r="L352" i="21"/>
  <c r="E354" i="21"/>
  <c r="G354" i="21"/>
  <c r="K354" i="21"/>
  <c r="O353" i="21"/>
  <c r="F354" i="21"/>
  <c r="J354" i="21"/>
  <c r="V353" i="21"/>
  <c r="S353" i="21"/>
  <c r="I354" i="21"/>
  <c r="B354" i="21"/>
  <c r="C354" i="21"/>
  <c r="Q353" i="21"/>
  <c r="P353" i="21"/>
  <c r="J126" i="21" l="1"/>
  <c r="V126" i="21"/>
  <c r="M353" i="21"/>
  <c r="L353" i="21"/>
  <c r="T353" i="21"/>
  <c r="U353" i="21"/>
  <c r="J355" i="21"/>
  <c r="P354" i="21"/>
  <c r="Q354" i="21"/>
  <c r="E355" i="21"/>
  <c r="F355" i="21"/>
  <c r="B355" i="21"/>
  <c r="S354" i="21"/>
  <c r="C355" i="21"/>
  <c r="O354" i="21"/>
  <c r="G355" i="21"/>
  <c r="V354" i="21"/>
  <c r="I355" i="21"/>
  <c r="K355" i="21"/>
  <c r="I127" i="21" l="1"/>
  <c r="T126" i="21"/>
  <c r="M126" i="21"/>
  <c r="L126" i="21"/>
  <c r="G356" i="21"/>
  <c r="J356" i="21"/>
  <c r="S355" i="21"/>
  <c r="Q355" i="21"/>
  <c r="I356" i="21"/>
  <c r="O355" i="21"/>
  <c r="P355" i="21"/>
  <c r="B356" i="21"/>
  <c r="F356" i="21"/>
  <c r="K356" i="21"/>
  <c r="C356" i="21"/>
  <c r="E356" i="21"/>
  <c r="V355" i="21"/>
  <c r="U354" i="21"/>
  <c r="T354" i="21"/>
  <c r="L354" i="21"/>
  <c r="M354" i="21"/>
  <c r="U126" i="21" l="1"/>
  <c r="S127" i="21"/>
  <c r="K127" i="21"/>
  <c r="Q126" i="21"/>
  <c r="L355" i="21"/>
  <c r="U355" i="21"/>
  <c r="M355" i="21"/>
  <c r="T355" i="21"/>
  <c r="G357" i="21"/>
  <c r="O356" i="21"/>
  <c r="I357" i="21"/>
  <c r="K357" i="21"/>
  <c r="P356" i="21"/>
  <c r="C357" i="21"/>
  <c r="Q356" i="21"/>
  <c r="E357" i="21"/>
  <c r="J357" i="21"/>
  <c r="B357" i="21"/>
  <c r="V356" i="21"/>
  <c r="S356" i="21"/>
  <c r="F357" i="21"/>
  <c r="J127" i="21" l="1"/>
  <c r="L127" i="21" s="1"/>
  <c r="V127" i="21"/>
  <c r="U356" i="21"/>
  <c r="L356" i="21"/>
  <c r="T356" i="21"/>
  <c r="M356" i="21"/>
  <c r="J358" i="21"/>
  <c r="O357" i="21"/>
  <c r="Q357" i="21"/>
  <c r="V357" i="21"/>
  <c r="B358" i="21"/>
  <c r="E358" i="21"/>
  <c r="C358" i="21"/>
  <c r="I358" i="21"/>
  <c r="P357" i="21"/>
  <c r="G358" i="21"/>
  <c r="F358" i="21"/>
  <c r="K358" i="21"/>
  <c r="S357" i="21"/>
  <c r="M127" i="21" l="1"/>
  <c r="T127" i="21"/>
  <c r="Q127" i="21" s="1"/>
  <c r="I128" i="21"/>
  <c r="T357" i="21"/>
  <c r="M357" i="21"/>
  <c r="U357" i="21"/>
  <c r="L357" i="21"/>
  <c r="O358" i="21"/>
  <c r="F359" i="21"/>
  <c r="V358" i="21"/>
  <c r="C359" i="21"/>
  <c r="Q358" i="21"/>
  <c r="J359" i="21"/>
  <c r="G359" i="21"/>
  <c r="S358" i="21"/>
  <c r="E359" i="21"/>
  <c r="B359" i="21"/>
  <c r="P358" i="21"/>
  <c r="K359" i="21"/>
  <c r="I359" i="21"/>
  <c r="K128" i="21" l="1"/>
  <c r="U127" i="21"/>
  <c r="S128" i="21"/>
  <c r="M358" i="21"/>
  <c r="U358" i="21"/>
  <c r="T358" i="21"/>
  <c r="L358" i="21"/>
  <c r="F360" i="21"/>
  <c r="C360" i="21"/>
  <c r="P359" i="21"/>
  <c r="I360" i="21"/>
  <c r="G360" i="21"/>
  <c r="E360" i="21"/>
  <c r="V359" i="21"/>
  <c r="J360" i="21"/>
  <c r="Q359" i="21"/>
  <c r="B360" i="21"/>
  <c r="K360" i="21"/>
  <c r="S359" i="21"/>
  <c r="O359" i="21"/>
  <c r="J128" i="21" l="1"/>
  <c r="V128" i="21"/>
  <c r="T359" i="21"/>
  <c r="U359" i="21"/>
  <c r="M359" i="21"/>
  <c r="L359" i="21"/>
  <c r="J361" i="21"/>
  <c r="O360" i="21"/>
  <c r="I361" i="21"/>
  <c r="S360" i="21"/>
  <c r="G361" i="21"/>
  <c r="V360" i="21"/>
  <c r="F361" i="21"/>
  <c r="P360" i="21"/>
  <c r="K361" i="21"/>
  <c r="E361" i="21"/>
  <c r="Q360" i="21"/>
  <c r="C361" i="21"/>
  <c r="B361" i="21"/>
  <c r="I129" i="21" l="1"/>
  <c r="K129" i="21" s="1"/>
  <c r="L128" i="21"/>
  <c r="M128" i="21"/>
  <c r="T128" i="21"/>
  <c r="M360" i="21"/>
  <c r="L360" i="21"/>
  <c r="U360" i="21"/>
  <c r="T360" i="21"/>
  <c r="J362" i="21"/>
  <c r="C362" i="21"/>
  <c r="S361" i="21"/>
  <c r="K362" i="21"/>
  <c r="E362" i="21"/>
  <c r="P361" i="21"/>
  <c r="F362" i="21"/>
  <c r="I362" i="21"/>
  <c r="V361" i="21"/>
  <c r="O361" i="21"/>
  <c r="B362" i="21"/>
  <c r="G362" i="21"/>
  <c r="Q361" i="21"/>
  <c r="U128" i="21" l="1"/>
  <c r="S129" i="21"/>
  <c r="J129" i="21"/>
  <c r="V129" i="21"/>
  <c r="Q128" i="21"/>
  <c r="C363" i="21"/>
  <c r="G363" i="21"/>
  <c r="S362" i="21"/>
  <c r="Q362" i="21"/>
  <c r="E363" i="21"/>
  <c r="K363" i="21"/>
  <c r="P362" i="21"/>
  <c r="B363" i="21"/>
  <c r="V362" i="21"/>
  <c r="J363" i="21"/>
  <c r="F363" i="21"/>
  <c r="I363" i="21"/>
  <c r="O362" i="21"/>
  <c r="T361" i="21"/>
  <c r="L361" i="21"/>
  <c r="M361" i="21"/>
  <c r="U361" i="21"/>
  <c r="L129" i="21" l="1"/>
  <c r="T129" i="21"/>
  <c r="Q129" i="21" s="1"/>
  <c r="M129" i="21"/>
  <c r="O363" i="21"/>
  <c r="B364" i="21"/>
  <c r="K364" i="21"/>
  <c r="Q363" i="21"/>
  <c r="I364" i="21"/>
  <c r="C364" i="21"/>
  <c r="G364" i="21"/>
  <c r="S363" i="21"/>
  <c r="E364" i="21"/>
  <c r="F364" i="21"/>
  <c r="V363" i="21"/>
  <c r="P363" i="21"/>
  <c r="J364" i="21"/>
  <c r="T362" i="21"/>
  <c r="L362" i="21"/>
  <c r="M362" i="21"/>
  <c r="U362" i="21"/>
  <c r="U129" i="21" l="1"/>
  <c r="M363" i="21"/>
  <c r="T363" i="21"/>
  <c r="L363" i="21"/>
  <c r="U363" i="21"/>
  <c r="J365" i="21"/>
  <c r="P364" i="21"/>
  <c r="I365" i="21"/>
  <c r="V364" i="21"/>
  <c r="B365" i="21"/>
  <c r="O364" i="21"/>
  <c r="G365" i="21"/>
  <c r="C365" i="21"/>
  <c r="S364" i="21"/>
  <c r="E365" i="21"/>
  <c r="K365" i="21"/>
  <c r="F365" i="21"/>
  <c r="Q364" i="21"/>
  <c r="T364" i="21" l="1"/>
  <c r="U364" i="21"/>
  <c r="M364" i="21"/>
  <c r="L364" i="21"/>
  <c r="J366" i="21"/>
  <c r="P365" i="21"/>
  <c r="V365" i="21"/>
  <c r="O365" i="21"/>
  <c r="E366" i="21"/>
  <c r="F366" i="21"/>
  <c r="C366" i="21"/>
  <c r="Q365" i="21"/>
  <c r="G366" i="21"/>
  <c r="S365" i="21"/>
  <c r="B366" i="21"/>
  <c r="K366" i="21"/>
  <c r="I366" i="21"/>
  <c r="C367" i="21" l="1"/>
  <c r="J367" i="21"/>
  <c r="Q366" i="21"/>
  <c r="I367" i="21"/>
  <c r="P366" i="21"/>
  <c r="K367" i="21"/>
  <c r="S366" i="21"/>
  <c r="O366" i="21"/>
  <c r="F367" i="21"/>
  <c r="V366" i="21"/>
  <c r="B367" i="21"/>
  <c r="E367" i="21"/>
  <c r="G367" i="21"/>
  <c r="L365" i="21"/>
  <c r="M365" i="21"/>
  <c r="U365" i="21"/>
  <c r="T365" i="21"/>
  <c r="F368" i="21" l="1"/>
  <c r="P367" i="21"/>
  <c r="C368" i="21"/>
  <c r="B368" i="21"/>
  <c r="S367" i="21"/>
  <c r="E368" i="21"/>
  <c r="G368" i="21"/>
  <c r="V367" i="21"/>
  <c r="K368" i="21"/>
  <c r="I368" i="21"/>
  <c r="Q367" i="21"/>
  <c r="J368" i="21"/>
  <c r="O367" i="21"/>
  <c r="M366" i="21"/>
  <c r="T366" i="21"/>
  <c r="U366" i="21"/>
  <c r="L366" i="21"/>
  <c r="O368" i="21" l="1"/>
  <c r="J369" i="21"/>
  <c r="S368" i="21"/>
  <c r="I369" i="21"/>
  <c r="C369" i="21"/>
  <c r="K369" i="21"/>
  <c r="E369" i="21"/>
  <c r="B369" i="21"/>
  <c r="V368" i="21"/>
  <c r="F369" i="21"/>
  <c r="G369" i="21"/>
  <c r="P368" i="21"/>
  <c r="Q368" i="21"/>
  <c r="U367" i="21"/>
  <c r="M367" i="21"/>
  <c r="T367" i="21"/>
  <c r="L367" i="21"/>
  <c r="S369" i="21" l="1"/>
  <c r="P369" i="21"/>
  <c r="O369" i="21"/>
  <c r="Q369" i="21"/>
  <c r="V369" i="21"/>
  <c r="U368" i="21"/>
  <c r="L368" i="21"/>
  <c r="T368" i="21"/>
  <c r="M368" i="21"/>
  <c r="T369" i="21" l="1"/>
  <c r="M369" i="21"/>
  <c r="L369" i="21"/>
  <c r="U369" i="21"/>
  <c r="A102" i="22" l="1"/>
  <c r="B122" i="6" s="1"/>
  <c r="A34" i="22"/>
  <c r="F103" i="6" s="1"/>
  <c r="C313" i="6" l="1"/>
  <c r="C297" i="6"/>
  <c r="C281" i="6"/>
  <c r="C311" i="6"/>
  <c r="C295" i="6"/>
  <c r="C279" i="6"/>
  <c r="C325" i="6"/>
  <c r="C309" i="6"/>
  <c r="C293" i="6"/>
  <c r="C319" i="6"/>
  <c r="C303" i="6"/>
  <c r="C287" i="6"/>
  <c r="C323" i="6"/>
  <c r="C307" i="6"/>
  <c r="C291" i="6"/>
  <c r="C299" i="6"/>
  <c r="C321" i="6"/>
  <c r="C305" i="6"/>
  <c r="C289" i="6"/>
  <c r="C317" i="6"/>
  <c r="C301" i="6"/>
  <c r="C285" i="6"/>
  <c r="C315" i="6"/>
  <c r="C283" i="6"/>
  <c r="F76" i="6"/>
  <c r="F74" i="6"/>
  <c r="F41" i="6"/>
  <c r="C259" i="6"/>
  <c r="F57" i="6"/>
  <c r="F39" i="6"/>
  <c r="F82" i="6"/>
  <c r="F132" i="6"/>
  <c r="F147" i="6"/>
  <c r="F47" i="6"/>
  <c r="F118" i="6"/>
  <c r="F78" i="6"/>
  <c r="F45" i="6"/>
  <c r="F97" i="6"/>
  <c r="F151" i="6"/>
  <c r="F109" i="6"/>
  <c r="F159" i="6"/>
  <c r="F105" i="6"/>
  <c r="C269" i="6"/>
  <c r="C273" i="6"/>
  <c r="F130" i="6"/>
  <c r="C271" i="6"/>
  <c r="F122" i="6"/>
  <c r="F128" i="6"/>
  <c r="F153" i="6"/>
  <c r="F95" i="6"/>
  <c r="C255" i="6"/>
  <c r="C263" i="6"/>
  <c r="F101" i="6"/>
  <c r="C257" i="6"/>
  <c r="F53" i="6"/>
  <c r="F115" i="6"/>
  <c r="F93" i="6"/>
  <c r="F157" i="6"/>
  <c r="F111" i="6"/>
  <c r="F80" i="6"/>
  <c r="F51" i="6"/>
  <c r="C267" i="6"/>
  <c r="F89" i="6"/>
  <c r="C265" i="6"/>
  <c r="F124" i="6"/>
  <c r="F149" i="6"/>
  <c r="F107" i="6"/>
  <c r="F59" i="6"/>
  <c r="F91" i="6"/>
  <c r="D14" i="2" s="1"/>
  <c r="F49" i="6"/>
  <c r="F55" i="6"/>
  <c r="C277" i="6"/>
  <c r="F143" i="6"/>
  <c r="C275" i="6"/>
  <c r="F155" i="6"/>
  <c r="C261" i="6"/>
  <c r="F43" i="6"/>
  <c r="F139" i="6"/>
  <c r="F87" i="6"/>
  <c r="F99" i="6"/>
  <c r="F120" i="6"/>
  <c r="F61" i="6"/>
  <c r="A36" i="22"/>
  <c r="C166" i="6" s="1"/>
  <c r="D15" i="2" l="1"/>
  <c r="E15" i="2" s="1"/>
  <c r="C20" i="2"/>
  <c r="E14" i="2"/>
  <c r="C30" i="3"/>
  <c r="G31" i="3" s="1"/>
  <c r="A37" i="22"/>
  <c r="C5" i="5" l="1"/>
  <c r="H21" i="2"/>
  <c r="C7" i="5" s="1"/>
  <c r="C44" i="3"/>
  <c r="P31" i="3"/>
  <c r="F32" i="6"/>
  <c r="F11" i="6"/>
  <c r="D17" i="2"/>
  <c r="E17" i="2"/>
  <c r="H13" i="2" s="1"/>
  <c r="H14" i="2" s="1"/>
  <c r="H17" i="2" s="1"/>
  <c r="I9" i="21"/>
  <c r="S9" i="21"/>
  <c r="S10" i="21" s="1"/>
  <c r="C15" i="5"/>
  <c r="P30" i="3"/>
  <c r="P39" i="3"/>
  <c r="C42" i="4" s="1"/>
  <c r="F66" i="6"/>
  <c r="F64" i="6"/>
  <c r="F34" i="6"/>
  <c r="F113" i="6"/>
  <c r="F68" i="6"/>
  <c r="C6" i="5" l="1"/>
  <c r="C9" i="5"/>
  <c r="C8" i="5"/>
  <c r="J3" i="5"/>
  <c r="H25" i="2" s="1"/>
  <c r="C17" i="5"/>
  <c r="C18" i="5" s="1"/>
  <c r="L9" i="21"/>
  <c r="I10" i="21"/>
  <c r="H8" i="4"/>
  <c r="K25" i="3"/>
  <c r="O25" i="3"/>
  <c r="N25" i="3"/>
  <c r="E25" i="3"/>
  <c r="C8" i="6"/>
  <c r="Q1" i="19"/>
  <c r="H25" i="3"/>
  <c r="M25" i="3"/>
  <c r="B49" i="4"/>
  <c r="J25" i="3"/>
  <c r="F25" i="3"/>
  <c r="G25" i="3"/>
  <c r="I25" i="3"/>
  <c r="D25" i="3"/>
  <c r="L25" i="3"/>
  <c r="O9" i="21" l="1"/>
  <c r="P9" i="21"/>
  <c r="V9" i="21"/>
  <c r="T9" i="21"/>
  <c r="U9" i="21" s="1"/>
  <c r="M9" i="21"/>
  <c r="C19" i="5"/>
  <c r="O19" i="5" s="1"/>
  <c r="J7" i="5" s="1"/>
  <c r="H22" i="2" s="1"/>
  <c r="C8" i="3"/>
  <c r="P8" i="3" s="1"/>
  <c r="C16" i="3"/>
  <c r="C46" i="3" s="1"/>
  <c r="C48" i="3" s="1"/>
  <c r="D5" i="3" s="1"/>
  <c r="K10" i="21"/>
  <c r="D15" i="5"/>
  <c r="D35" i="3"/>
  <c r="D34" i="3"/>
  <c r="C20" i="5"/>
  <c r="B44" i="4"/>
  <c r="B3" i="19"/>
  <c r="H14" i="6"/>
  <c r="H63" i="6" s="1"/>
  <c r="B40" i="3"/>
  <c r="P25" i="3"/>
  <c r="J1" i="19"/>
  <c r="C3" i="19"/>
  <c r="A22" i="19" s="1"/>
  <c r="D14" i="6"/>
  <c r="B39" i="4"/>
  <c r="B37" i="3"/>
  <c r="J3" i="19" l="1"/>
  <c r="Q3" i="19"/>
  <c r="C17" i="6"/>
  <c r="C21" i="6"/>
  <c r="P16" i="3"/>
  <c r="AC16" i="3" s="1"/>
  <c r="AP16" i="3" s="1"/>
  <c r="D17" i="5"/>
  <c r="D18" i="5" s="1"/>
  <c r="E15" i="5" s="1"/>
  <c r="V10" i="21"/>
  <c r="J10" i="21"/>
  <c r="L10" i="21" s="1"/>
  <c r="C76" i="6"/>
  <c r="C74" i="6"/>
  <c r="C27" i="6"/>
  <c r="C29" i="6"/>
  <c r="C15" i="6"/>
  <c r="C23" i="6"/>
  <c r="C19" i="6"/>
  <c r="C23" i="4"/>
  <c r="C30" i="4" s="1"/>
  <c r="C25" i="6"/>
  <c r="C80" i="6"/>
  <c r="C55" i="6"/>
  <c r="C34" i="6"/>
  <c r="C68" i="6"/>
  <c r="C45" i="6"/>
  <c r="C53" i="6"/>
  <c r="C57" i="6"/>
  <c r="C64" i="6"/>
  <c r="C72" i="6"/>
  <c r="C47" i="6"/>
  <c r="C49" i="6"/>
  <c r="D38" i="6"/>
  <c r="C43" i="6"/>
  <c r="D31" i="6"/>
  <c r="C61" i="6"/>
  <c r="C39" i="6"/>
  <c r="D63" i="6"/>
  <c r="C41" i="6"/>
  <c r="C51" i="6"/>
  <c r="C66" i="6"/>
  <c r="D328" i="6"/>
  <c r="C11" i="6"/>
  <c r="D71" i="6"/>
  <c r="C59" i="6"/>
  <c r="C82" i="6"/>
  <c r="C32" i="6"/>
  <c r="C78" i="6"/>
  <c r="H38" i="6"/>
  <c r="H31" i="6"/>
  <c r="H71" i="6"/>
  <c r="A17" i="19"/>
  <c r="E17" i="5" l="1"/>
  <c r="E18" i="5" s="1"/>
  <c r="M10" i="21"/>
  <c r="E35" i="3"/>
  <c r="T10" i="21"/>
  <c r="I11" i="21"/>
  <c r="E34" i="3"/>
  <c r="D20" i="5"/>
  <c r="M30" i="19"/>
  <c r="M32" i="19"/>
  <c r="M31" i="19"/>
  <c r="M28" i="19"/>
  <c r="M29" i="19"/>
  <c r="T32" i="19"/>
  <c r="T29" i="19"/>
  <c r="T30" i="19"/>
  <c r="T31" i="19"/>
  <c r="T28" i="19"/>
  <c r="Q10" i="21" l="1"/>
  <c r="S11" i="21"/>
  <c r="U10" i="21"/>
  <c r="K11" i="21"/>
  <c r="F15" i="5"/>
  <c r="F35" i="3"/>
  <c r="F34" i="3"/>
  <c r="E20" i="5"/>
  <c r="I25" i="19"/>
  <c r="P25" i="19"/>
  <c r="F17" i="5" l="1"/>
  <c r="F18" i="5" s="1"/>
  <c r="G15" i="5" s="1"/>
  <c r="G17" i="5" s="1"/>
  <c r="V11" i="21"/>
  <c r="J11" i="21"/>
  <c r="T11" i="21" s="1"/>
  <c r="S12" i="21" l="1"/>
  <c r="U11" i="21"/>
  <c r="G18" i="5"/>
  <c r="G20" i="5" s="1"/>
  <c r="H34" i="3"/>
  <c r="Q11" i="21"/>
  <c r="I12" i="21"/>
  <c r="K12" i="21" s="1"/>
  <c r="G35" i="3"/>
  <c r="L11" i="21"/>
  <c r="G34" i="3"/>
  <c r="F20" i="5"/>
  <c r="M11" i="21"/>
  <c r="V12" i="21" l="1"/>
  <c r="J12" i="21"/>
  <c r="L12" i="21" s="1"/>
  <c r="H15" i="5"/>
  <c r="H35" i="3"/>
  <c r="M12" i="21" l="1"/>
  <c r="T12" i="21"/>
  <c r="Q12" i="21" s="1"/>
  <c r="H17" i="5"/>
  <c r="I13" i="21"/>
  <c r="C24" i="19"/>
  <c r="C19" i="19"/>
  <c r="K13" i="21" l="1"/>
  <c r="H18" i="5"/>
  <c r="H20" i="5" s="1"/>
  <c r="I34" i="3"/>
  <c r="S13" i="21"/>
  <c r="U12" i="21"/>
  <c r="I35" i="3" l="1"/>
  <c r="I15" i="5"/>
  <c r="V13" i="21"/>
  <c r="J13" i="21"/>
  <c r="I17" i="5" l="1"/>
  <c r="I14" i="21"/>
  <c r="T13" i="21"/>
  <c r="L13" i="21"/>
  <c r="M13" i="21"/>
  <c r="E26" i="19"/>
  <c r="E21" i="19"/>
  <c r="K14" i="21" l="1"/>
  <c r="U13" i="21"/>
  <c r="S14" i="21"/>
  <c r="Q13" i="21"/>
  <c r="I18" i="5"/>
  <c r="J34" i="3"/>
  <c r="V14" i="21" l="1"/>
  <c r="J14" i="21"/>
  <c r="J35" i="3"/>
  <c r="J15" i="5"/>
  <c r="I20" i="5"/>
  <c r="I15" i="21" l="1"/>
  <c r="L14" i="21"/>
  <c r="M14" i="21"/>
  <c r="J17" i="5"/>
  <c r="J18" i="5" s="1"/>
  <c r="K35" i="3" s="1"/>
  <c r="T14" i="21"/>
  <c r="U14" i="21" l="1"/>
  <c r="S15" i="21"/>
  <c r="K34" i="3"/>
  <c r="J20" i="5"/>
  <c r="K15" i="5"/>
  <c r="K15" i="21"/>
  <c r="Q14" i="21"/>
  <c r="V15" i="21" l="1"/>
  <c r="J15" i="21"/>
  <c r="I16" i="21" s="1"/>
  <c r="K17" i="5"/>
  <c r="T15" i="21" l="1"/>
  <c r="M15" i="21"/>
  <c r="L15" i="21"/>
  <c r="K18" i="5"/>
  <c r="K20" i="5" s="1"/>
  <c r="L34" i="3"/>
  <c r="K16" i="21"/>
  <c r="L35" i="3" l="1"/>
  <c r="L15" i="5"/>
  <c r="V16" i="21"/>
  <c r="J16" i="21"/>
  <c r="Q15" i="21"/>
  <c r="S16" i="21"/>
  <c r="U15" i="21"/>
  <c r="T16" i="21" l="1"/>
  <c r="Q16" i="21" s="1"/>
  <c r="M16" i="21"/>
  <c r="L16" i="21"/>
  <c r="I17" i="21"/>
  <c r="L17" i="5"/>
  <c r="U16" i="21" l="1"/>
  <c r="K17" i="21"/>
  <c r="S17" i="21"/>
  <c r="L18" i="5"/>
  <c r="M34" i="3"/>
  <c r="M35" i="3" l="1"/>
  <c r="M15" i="5"/>
  <c r="L20" i="5"/>
  <c r="V17" i="21"/>
  <c r="J17" i="21"/>
  <c r="L17" i="21" l="1"/>
  <c r="I18" i="21"/>
  <c r="T17" i="21"/>
  <c r="Q17" i="21" s="1"/>
  <c r="M17" i="21"/>
  <c r="M17" i="5"/>
  <c r="M18" i="5" s="1"/>
  <c r="N15" i="5" l="1"/>
  <c r="N35" i="3"/>
  <c r="N34" i="3"/>
  <c r="M20" i="5"/>
  <c r="K18" i="21"/>
  <c r="U17" i="21"/>
  <c r="S18" i="21"/>
  <c r="V18" i="21" l="1"/>
  <c r="J18" i="21"/>
  <c r="L18" i="21" s="1"/>
  <c r="N17" i="5"/>
  <c r="M18" i="21" l="1"/>
  <c r="T18" i="21"/>
  <c r="Q18" i="21" s="1"/>
  <c r="I19" i="21"/>
  <c r="N18" i="5"/>
  <c r="N20" i="5" s="1"/>
  <c r="O20" i="5" s="1"/>
  <c r="O34" i="3"/>
  <c r="O17" i="5"/>
  <c r="C32" i="4" s="1"/>
  <c r="C35" i="4" s="1"/>
  <c r="O35" i="3" l="1"/>
  <c r="P35" i="3" s="1"/>
  <c r="O18" i="5"/>
  <c r="H9" i="4" s="1"/>
  <c r="C24" i="5"/>
  <c r="K19" i="21"/>
  <c r="G2" i="19"/>
  <c r="P34" i="3"/>
  <c r="S19" i="21"/>
  <c r="U18" i="21"/>
  <c r="Q2" i="19" l="1"/>
  <c r="J2" i="19"/>
  <c r="V19" i="21"/>
  <c r="J19" i="21"/>
  <c r="M19" i="21" s="1"/>
  <c r="C26" i="5"/>
  <c r="Q34" i="3" s="1"/>
  <c r="T23" i="19" l="1"/>
  <c r="P61" i="19"/>
  <c r="M19" i="19"/>
  <c r="I61" i="19"/>
  <c r="I20" i="21"/>
  <c r="C27" i="5"/>
  <c r="I6" i="19"/>
  <c r="L52" i="19"/>
  <c r="M59" i="19"/>
  <c r="I16" i="19"/>
  <c r="L51" i="19"/>
  <c r="L49" i="19"/>
  <c r="L53" i="19"/>
  <c r="L50" i="19"/>
  <c r="I11" i="19"/>
  <c r="L19" i="21"/>
  <c r="T19" i="21"/>
  <c r="T22" i="19"/>
  <c r="P16" i="19" s="1"/>
  <c r="P11" i="19"/>
  <c r="S51" i="19"/>
  <c r="S53" i="19"/>
  <c r="S50" i="19"/>
  <c r="P6" i="19"/>
  <c r="S52" i="19"/>
  <c r="S49" i="19"/>
  <c r="T59" i="19"/>
  <c r="C28" i="5" l="1"/>
  <c r="Q35" i="3"/>
  <c r="I36" i="19"/>
  <c r="J4" i="19" s="1"/>
  <c r="P36" i="19"/>
  <c r="Q4" i="19" s="1"/>
  <c r="B4" i="19" s="1"/>
  <c r="D20" i="19" s="1"/>
  <c r="D21" i="19" s="1"/>
  <c r="I46" i="19"/>
  <c r="S20" i="21"/>
  <c r="U19" i="21"/>
  <c r="D24" i="5"/>
  <c r="K20" i="21"/>
  <c r="P46" i="19"/>
  <c r="Q19" i="21"/>
  <c r="B7" i="19" l="1"/>
  <c r="C4" i="19"/>
  <c r="C7" i="19"/>
  <c r="G5" i="19"/>
  <c r="C34" i="19" s="1"/>
  <c r="C35" i="19" s="1"/>
  <c r="V20" i="21"/>
  <c r="J20" i="21"/>
  <c r="B20" i="19"/>
  <c r="B21" i="19" s="1"/>
  <c r="T58" i="19"/>
  <c r="P55" i="19" s="1"/>
  <c r="B8" i="19" s="1"/>
  <c r="S43" i="19"/>
  <c r="S44" i="19"/>
  <c r="C20" i="19"/>
  <c r="C21" i="19" s="1"/>
  <c r="D26" i="5"/>
  <c r="R34" i="3" s="1"/>
  <c r="C25" i="19" l="1"/>
  <c r="C26" i="19" s="1"/>
  <c r="D25" i="19"/>
  <c r="D26" i="19" s="1"/>
  <c r="L42" i="19"/>
  <c r="B25" i="19"/>
  <c r="B26" i="19" s="1"/>
  <c r="L44" i="19"/>
  <c r="L43" i="19"/>
  <c r="M58" i="19"/>
  <c r="I55" i="19" s="1"/>
  <c r="C8" i="19" s="1"/>
  <c r="S42" i="19"/>
  <c r="P39" i="19" s="1"/>
  <c r="B6" i="19" s="1"/>
  <c r="B34" i="19"/>
  <c r="B35" i="19" s="1"/>
  <c r="B5" i="19"/>
  <c r="T20" i="21"/>
  <c r="Q20" i="21" s="1"/>
  <c r="I21" i="21"/>
  <c r="D27" i="5"/>
  <c r="R35" i="3" s="1"/>
  <c r="L20" i="21"/>
  <c r="M20" i="21"/>
  <c r="C5" i="19" l="1"/>
  <c r="B9" i="19"/>
  <c r="C37" i="4" s="1"/>
  <c r="P36" i="3" s="1"/>
  <c r="C9" i="19"/>
  <c r="I39" i="19"/>
  <c r="C6" i="19" s="1"/>
  <c r="B10" i="19"/>
  <c r="E24" i="5"/>
  <c r="E26" i="5" s="1"/>
  <c r="S34" i="3" s="1"/>
  <c r="D28" i="5"/>
  <c r="K21" i="21"/>
  <c r="S21" i="21"/>
  <c r="U20" i="21"/>
  <c r="C10" i="19" l="1"/>
  <c r="C11" i="19" s="1"/>
  <c r="O36" i="3"/>
  <c r="L36" i="3"/>
  <c r="I36" i="3"/>
  <c r="F36" i="3"/>
  <c r="C40" i="4"/>
  <c r="C45" i="4"/>
  <c r="C46" i="4" s="1"/>
  <c r="AP41" i="3" s="1"/>
  <c r="B11" i="19"/>
  <c r="V21" i="21"/>
  <c r="J21" i="21"/>
  <c r="T21" i="21" s="1"/>
  <c r="E27" i="5"/>
  <c r="S35" i="3" s="1"/>
  <c r="C41" i="4" l="1"/>
  <c r="AL41" i="3"/>
  <c r="AM41" i="3"/>
  <c r="AN41" i="3"/>
  <c r="AO41" i="3"/>
  <c r="AK41" i="3"/>
  <c r="AG41" i="3"/>
  <c r="AI41" i="3"/>
  <c r="AJ41" i="3"/>
  <c r="AE41" i="3"/>
  <c r="AD41" i="3"/>
  <c r="AF41" i="3"/>
  <c r="AH41" i="3"/>
  <c r="P41" i="3"/>
  <c r="K41" i="3" s="1"/>
  <c r="AC41" i="3"/>
  <c r="M21" i="21"/>
  <c r="L21" i="21"/>
  <c r="U21" i="21"/>
  <c r="S22" i="21"/>
  <c r="F24" i="5"/>
  <c r="F26" i="5" s="1"/>
  <c r="T34" i="3" s="1"/>
  <c r="E28" i="5"/>
  <c r="Q21" i="21"/>
  <c r="I22" i="21"/>
  <c r="P38" i="3" l="1"/>
  <c r="C49" i="4"/>
  <c r="H4" i="4" s="1"/>
  <c r="H6" i="4" s="1"/>
  <c r="H11" i="4" s="1"/>
  <c r="I41" i="3"/>
  <c r="D41" i="3"/>
  <c r="H41" i="3"/>
  <c r="O41" i="3"/>
  <c r="G41" i="3"/>
  <c r="N41" i="3"/>
  <c r="L41" i="3"/>
  <c r="J41" i="3"/>
  <c r="F41" i="3"/>
  <c r="M41" i="3"/>
  <c r="E41" i="3"/>
  <c r="Q41" i="3"/>
  <c r="W41" i="3"/>
  <c r="Y41" i="3"/>
  <c r="X41" i="3"/>
  <c r="U41" i="3"/>
  <c r="V41" i="3"/>
  <c r="T41" i="3"/>
  <c r="S41" i="3"/>
  <c r="AA41" i="3"/>
  <c r="Z41" i="3"/>
  <c r="AB41" i="3"/>
  <c r="R41" i="3"/>
  <c r="M38" i="3"/>
  <c r="D38" i="3"/>
  <c r="N38" i="3"/>
  <c r="F38" i="3"/>
  <c r="H38" i="3"/>
  <c r="K38" i="3"/>
  <c r="K44" i="3" s="1"/>
  <c r="K46" i="3" s="1"/>
  <c r="J38" i="3"/>
  <c r="E38" i="3"/>
  <c r="G38" i="3"/>
  <c r="L38" i="3"/>
  <c r="I38" i="3"/>
  <c r="O38" i="3"/>
  <c r="K22" i="21"/>
  <c r="F27" i="5"/>
  <c r="T35" i="3" s="1"/>
  <c r="H44" i="3" l="1"/>
  <c r="H46" i="3" s="1"/>
  <c r="G44" i="3"/>
  <c r="G46" i="3" s="1"/>
  <c r="D44" i="3"/>
  <c r="D46" i="3" s="1"/>
  <c r="D48" i="3" s="1"/>
  <c r="E5" i="3" s="1"/>
  <c r="O44" i="3"/>
  <c r="O46" i="3" s="1"/>
  <c r="I44" i="3"/>
  <c r="I46" i="3" s="1"/>
  <c r="L44" i="3"/>
  <c r="L46" i="3" s="1"/>
  <c r="N44" i="3"/>
  <c r="N46" i="3" s="1"/>
  <c r="J44" i="3"/>
  <c r="J46" i="3" s="1"/>
  <c r="E44" i="3"/>
  <c r="E46" i="3" s="1"/>
  <c r="M44" i="3"/>
  <c r="M46" i="3" s="1"/>
  <c r="F44" i="3"/>
  <c r="F46" i="3" s="1"/>
  <c r="G24" i="5"/>
  <c r="F28" i="5"/>
  <c r="V22" i="21"/>
  <c r="J22" i="21"/>
  <c r="M22" i="21" s="1"/>
  <c r="E48" i="3" l="1"/>
  <c r="F5" i="3" s="1"/>
  <c r="F48" i="3" s="1"/>
  <c r="G5" i="3" s="1"/>
  <c r="G48" i="3" s="1"/>
  <c r="H5" i="3" s="1"/>
  <c r="H48" i="3" s="1"/>
  <c r="I5" i="3" s="1"/>
  <c r="I48" i="3" s="1"/>
  <c r="J5" i="3" s="1"/>
  <c r="J48" i="3" s="1"/>
  <c r="K5" i="3" s="1"/>
  <c r="K48" i="3" s="1"/>
  <c r="L5" i="3" s="1"/>
  <c r="L48" i="3" s="1"/>
  <c r="M5" i="3" s="1"/>
  <c r="M48" i="3" s="1"/>
  <c r="N5" i="3" s="1"/>
  <c r="N48" i="3" s="1"/>
  <c r="O5" i="3" s="1"/>
  <c r="O48" i="3" s="1"/>
  <c r="Q5" i="3" s="1"/>
  <c r="P44" i="3"/>
  <c r="G26" i="5"/>
  <c r="U34" i="3" s="1"/>
  <c r="I23" i="21"/>
  <c r="T22" i="21"/>
  <c r="L22" i="21"/>
  <c r="Q22" i="21" l="1"/>
  <c r="U22" i="21"/>
  <c r="S23" i="21"/>
  <c r="K23" i="21"/>
  <c r="G27" i="5"/>
  <c r="U35" i="3" s="1"/>
  <c r="H24" i="5" l="1"/>
  <c r="V23" i="21"/>
  <c r="J23" i="21"/>
  <c r="M23" i="21" s="1"/>
  <c r="G28" i="5"/>
  <c r="I24" i="21" l="1"/>
  <c r="L23" i="21"/>
  <c r="H26" i="5"/>
  <c r="V34" i="3" s="1"/>
  <c r="T23" i="21"/>
  <c r="U23" i="21" l="1"/>
  <c r="S24" i="21"/>
  <c r="H27" i="5"/>
  <c r="K24" i="21"/>
  <c r="Q23" i="21"/>
  <c r="I24" i="5" l="1"/>
  <c r="I26" i="5" s="1"/>
  <c r="W34" i="3" s="1"/>
  <c r="V35" i="3"/>
  <c r="H28" i="5"/>
  <c r="V24" i="21"/>
  <c r="J24" i="21"/>
  <c r="T24" i="21" s="1"/>
  <c r="U24" i="21" l="1"/>
  <c r="S25" i="21"/>
  <c r="Q24" i="21"/>
  <c r="I25" i="21"/>
  <c r="K25" i="21" s="1"/>
  <c r="L24" i="21"/>
  <c r="M24" i="21"/>
  <c r="I27" i="5"/>
  <c r="J24" i="5" l="1"/>
  <c r="J26" i="5" s="1"/>
  <c r="X34" i="3" s="1"/>
  <c r="W35" i="3"/>
  <c r="V25" i="21"/>
  <c r="J25" i="21"/>
  <c r="I28" i="5"/>
  <c r="I26" i="21" l="1"/>
  <c r="K26" i="21" s="1"/>
  <c r="M25" i="21"/>
  <c r="T25" i="21"/>
  <c r="L25" i="21"/>
  <c r="J27" i="5"/>
  <c r="K24" i="5" l="1"/>
  <c r="K26" i="5" s="1"/>
  <c r="Y34" i="3" s="1"/>
  <c r="X35" i="3"/>
  <c r="J28" i="5"/>
  <c r="S26" i="21"/>
  <c r="U25" i="21"/>
  <c r="Q25" i="21"/>
  <c r="V26" i="21"/>
  <c r="J26" i="21"/>
  <c r="I27" i="21" l="1"/>
  <c r="K27" i="5"/>
  <c r="M26" i="21"/>
  <c r="L26" i="21"/>
  <c r="T26" i="21"/>
  <c r="S27" i="21" s="1"/>
  <c r="L24" i="5" l="1"/>
  <c r="L26" i="5" s="1"/>
  <c r="Z34" i="3" s="1"/>
  <c r="Y35" i="3"/>
  <c r="U26" i="21"/>
  <c r="Q26" i="21"/>
  <c r="K28" i="5"/>
  <c r="K27" i="21"/>
  <c r="L27" i="5" l="1"/>
  <c r="L28" i="5" s="1"/>
  <c r="V27" i="21"/>
  <c r="J27" i="21"/>
  <c r="M27" i="21" s="1"/>
  <c r="M24" i="5" l="1"/>
  <c r="M26" i="5" s="1"/>
  <c r="AA34" i="3" s="1"/>
  <c r="Z35" i="3"/>
  <c r="I28" i="21"/>
  <c r="T27" i="21"/>
  <c r="L27" i="21"/>
  <c r="M27" i="5" l="1"/>
  <c r="N24" i="5" s="1"/>
  <c r="N26" i="5" s="1"/>
  <c r="AB34" i="3" s="1"/>
  <c r="U27" i="21"/>
  <c r="S28" i="21"/>
  <c r="K28" i="21"/>
  <c r="Q27" i="21"/>
  <c r="M28" i="5" l="1"/>
  <c r="AA35" i="3"/>
  <c r="O26" i="5"/>
  <c r="D32" i="4" s="1"/>
  <c r="D35" i="4" s="1"/>
  <c r="N27" i="5"/>
  <c r="O27" i="5" s="1"/>
  <c r="I9" i="4" s="1"/>
  <c r="AC34" i="3"/>
  <c r="V28" i="21"/>
  <c r="J28" i="21"/>
  <c r="L28" i="21" s="1"/>
  <c r="G2" i="24" l="1"/>
  <c r="J2" i="24" s="1"/>
  <c r="N28" i="5"/>
  <c r="O28" i="5" s="1"/>
  <c r="AB35" i="3"/>
  <c r="C32" i="5"/>
  <c r="C34" i="5" s="1"/>
  <c r="AD34" i="3" s="1"/>
  <c r="T28" i="21"/>
  <c r="Q28" i="21" s="1"/>
  <c r="M28" i="21"/>
  <c r="I29" i="21"/>
  <c r="I16" i="24" l="1"/>
  <c r="L52" i="24"/>
  <c r="L53" i="24"/>
  <c r="I11" i="24"/>
  <c r="I6" i="24"/>
  <c r="L50" i="24"/>
  <c r="L49" i="24"/>
  <c r="L51" i="24"/>
  <c r="M59" i="24"/>
  <c r="I61" i="24"/>
  <c r="C7" i="24" s="1"/>
  <c r="Q2" i="24"/>
  <c r="P61" i="24" s="1"/>
  <c r="AC35" i="3"/>
  <c r="K29" i="21"/>
  <c r="C35" i="5"/>
  <c r="U28" i="21"/>
  <c r="S29" i="21"/>
  <c r="I36" i="24" l="1"/>
  <c r="J4" i="24" s="1"/>
  <c r="C4" i="24" s="1"/>
  <c r="D25" i="24" s="1"/>
  <c r="D26" i="24" s="1"/>
  <c r="I46" i="24"/>
  <c r="P11" i="24"/>
  <c r="S53" i="24"/>
  <c r="P16" i="24"/>
  <c r="S52" i="24"/>
  <c r="S50" i="24"/>
  <c r="P6" i="24"/>
  <c r="S51" i="24"/>
  <c r="S49" i="24"/>
  <c r="T59" i="24"/>
  <c r="D32" i="5"/>
  <c r="D34" i="5" s="1"/>
  <c r="AE34" i="3" s="1"/>
  <c r="AD35" i="3"/>
  <c r="C36" i="5"/>
  <c r="V29" i="21"/>
  <c r="J29" i="21"/>
  <c r="I30" i="21" s="1"/>
  <c r="L42" i="24" l="1"/>
  <c r="B25" i="24"/>
  <c r="B26" i="24" s="1"/>
  <c r="C25" i="24"/>
  <c r="C26" i="24" s="1"/>
  <c r="M58" i="24"/>
  <c r="I55" i="24" s="1"/>
  <c r="C8" i="24" s="1"/>
  <c r="L44" i="24"/>
  <c r="L43" i="24"/>
  <c r="S42" i="24"/>
  <c r="P36" i="24"/>
  <c r="Q4" i="24" s="1"/>
  <c r="B7" i="24" s="1"/>
  <c r="P46" i="24"/>
  <c r="L29" i="21"/>
  <c r="T29" i="21"/>
  <c r="K30" i="21"/>
  <c r="M29" i="21"/>
  <c r="D35" i="5"/>
  <c r="C5" i="24" l="1"/>
  <c r="I39" i="24"/>
  <c r="C6" i="24" s="1"/>
  <c r="C10" i="24" s="1"/>
  <c r="C11" i="24" s="1"/>
  <c r="B4" i="24"/>
  <c r="D20" i="24" s="1"/>
  <c r="D21" i="24" s="1"/>
  <c r="G5" i="24"/>
  <c r="E32" i="5"/>
  <c r="E34" i="5" s="1"/>
  <c r="AF34" i="3" s="1"/>
  <c r="AE35" i="3"/>
  <c r="D36" i="5"/>
  <c r="Q29" i="21"/>
  <c r="S30" i="21"/>
  <c r="U29" i="21"/>
  <c r="V30" i="21"/>
  <c r="J30" i="21"/>
  <c r="C34" i="24" l="1"/>
  <c r="C35" i="24" s="1"/>
  <c r="B34" i="24"/>
  <c r="B35" i="24" s="1"/>
  <c r="E35" i="5"/>
  <c r="F32" i="5" s="1"/>
  <c r="F34" i="5" s="1"/>
  <c r="AG34" i="3" s="1"/>
  <c r="B20" i="24"/>
  <c r="B21" i="24" s="1"/>
  <c r="T58" i="24"/>
  <c r="P55" i="24" s="1"/>
  <c r="B8" i="24" s="1"/>
  <c r="S44" i="24"/>
  <c r="C20" i="24"/>
  <c r="C21" i="24" s="1"/>
  <c r="S43" i="24"/>
  <c r="I31" i="21"/>
  <c r="M30" i="21"/>
  <c r="L30" i="21"/>
  <c r="T30" i="21"/>
  <c r="U30" i="21" s="1"/>
  <c r="B9" i="24" l="1"/>
  <c r="D37" i="4" s="1"/>
  <c r="AC36" i="3" s="1"/>
  <c r="C9" i="24"/>
  <c r="P39" i="24"/>
  <c r="B6" i="24" s="1"/>
  <c r="B5" i="24"/>
  <c r="E36" i="5"/>
  <c r="AF35" i="3"/>
  <c r="K31" i="21"/>
  <c r="Q30" i="21"/>
  <c r="S31" i="21"/>
  <c r="F35" i="5"/>
  <c r="S36" i="3" l="1"/>
  <c r="AB36" i="3"/>
  <c r="Y36" i="3"/>
  <c r="V36" i="3"/>
  <c r="D40" i="4"/>
  <c r="D41" i="4" s="1"/>
  <c r="AC38" i="3" s="1"/>
  <c r="D45" i="4"/>
  <c r="B10" i="24"/>
  <c r="B11" i="24" s="1"/>
  <c r="G32" i="5"/>
  <c r="G34" i="5" s="1"/>
  <c r="AH34" i="3" s="1"/>
  <c r="AG35" i="3"/>
  <c r="F36" i="5"/>
  <c r="V31" i="21"/>
  <c r="J31" i="21"/>
  <c r="T31" i="21" s="1"/>
  <c r="D46" i="4" l="1"/>
  <c r="D49" i="4" s="1"/>
  <c r="Z38" i="3"/>
  <c r="Z44" i="3" s="1"/>
  <c r="Z46" i="3" s="1"/>
  <c r="W38" i="3"/>
  <c r="W44" i="3" s="1"/>
  <c r="W46" i="3" s="1"/>
  <c r="X38" i="3"/>
  <c r="X44" i="3" s="1"/>
  <c r="X46" i="3" s="1"/>
  <c r="AA38" i="3"/>
  <c r="AA44" i="3" s="1"/>
  <c r="AA46" i="3" s="1"/>
  <c r="AB38" i="3"/>
  <c r="AB44" i="3" s="1"/>
  <c r="AB46" i="3" s="1"/>
  <c r="U38" i="3"/>
  <c r="U44" i="3" s="1"/>
  <c r="U46" i="3" s="1"/>
  <c r="Y38" i="3"/>
  <c r="Y44" i="3" s="1"/>
  <c r="Y46" i="3" s="1"/>
  <c r="Q38" i="3"/>
  <c r="Q44" i="3" s="1"/>
  <c r="T38" i="3"/>
  <c r="T44" i="3" s="1"/>
  <c r="T46" i="3" s="1"/>
  <c r="R38" i="3"/>
  <c r="R44" i="3" s="1"/>
  <c r="R46" i="3" s="1"/>
  <c r="V38" i="3"/>
  <c r="V44" i="3" s="1"/>
  <c r="V46" i="3" s="1"/>
  <c r="S38" i="3"/>
  <c r="S44" i="3" s="1"/>
  <c r="S46" i="3" s="1"/>
  <c r="L31" i="21"/>
  <c r="S32" i="21"/>
  <c r="U31" i="21"/>
  <c r="Q31" i="21"/>
  <c r="I32" i="21"/>
  <c r="G35" i="5"/>
  <c r="M31" i="21"/>
  <c r="I4" i="4" l="1"/>
  <c r="I6" i="4" s="1"/>
  <c r="I11" i="4" s="1"/>
  <c r="AC44" i="3"/>
  <c r="Q46" i="3"/>
  <c r="Q48" i="3" s="1"/>
  <c r="R5" i="3" s="1"/>
  <c r="R48" i="3" s="1"/>
  <c r="S5" i="3" s="1"/>
  <c r="S48" i="3" s="1"/>
  <c r="T5" i="3" s="1"/>
  <c r="T48" i="3" s="1"/>
  <c r="U5" i="3" s="1"/>
  <c r="U48" i="3" s="1"/>
  <c r="V5" i="3" s="1"/>
  <c r="V48" i="3" s="1"/>
  <c r="W5" i="3" s="1"/>
  <c r="W48" i="3" s="1"/>
  <c r="X5" i="3" s="1"/>
  <c r="X48" i="3" s="1"/>
  <c r="Y5" i="3" s="1"/>
  <c r="Y48" i="3" s="1"/>
  <c r="Z5" i="3" s="1"/>
  <c r="Z48" i="3" s="1"/>
  <c r="AA5" i="3" s="1"/>
  <c r="AA48" i="3" s="1"/>
  <c r="AB5" i="3" s="1"/>
  <c r="AB48" i="3" s="1"/>
  <c r="AD5" i="3" s="1"/>
  <c r="H32" i="5"/>
  <c r="H34" i="5" s="1"/>
  <c r="AI34" i="3" s="1"/>
  <c r="AH35" i="3"/>
  <c r="G36" i="5"/>
  <c r="K32" i="21"/>
  <c r="V32" i="21" l="1"/>
  <c r="J32" i="21"/>
  <c r="H35" i="5"/>
  <c r="I32" i="5" l="1"/>
  <c r="I34" i="5" s="1"/>
  <c r="AJ34" i="3" s="1"/>
  <c r="AI35" i="3"/>
  <c r="H36" i="5"/>
  <c r="L32" i="21"/>
  <c r="I33" i="21"/>
  <c r="T32" i="21"/>
  <c r="M32" i="21"/>
  <c r="S33" i="21" l="1"/>
  <c r="U32" i="21"/>
  <c r="K33" i="21"/>
  <c r="Q32" i="21"/>
  <c r="I35" i="5"/>
  <c r="J32" i="5" l="1"/>
  <c r="J34" i="5" s="1"/>
  <c r="AK34" i="3" s="1"/>
  <c r="AJ35" i="3"/>
  <c r="I36" i="5"/>
  <c r="V33" i="21"/>
  <c r="J33" i="21"/>
  <c r="M33" i="21" s="1"/>
  <c r="J35" i="5" l="1"/>
  <c r="K32" i="5" s="1"/>
  <c r="K34" i="5" s="1"/>
  <c r="AL34" i="3" s="1"/>
  <c r="L33" i="21"/>
  <c r="I34" i="21"/>
  <c r="T33" i="21"/>
  <c r="J36" i="5" l="1"/>
  <c r="AK35" i="3"/>
  <c r="U33" i="21"/>
  <c r="S34" i="21"/>
  <c r="K34" i="21"/>
  <c r="Q33" i="21"/>
  <c r="K35" i="5"/>
  <c r="L32" i="5" l="1"/>
  <c r="L34" i="5" s="1"/>
  <c r="AM34" i="3" s="1"/>
  <c r="AL35" i="3"/>
  <c r="K36" i="5"/>
  <c r="V34" i="21"/>
  <c r="J34" i="21"/>
  <c r="T34" i="21" s="1"/>
  <c r="U34" i="21" l="1"/>
  <c r="S35" i="21"/>
  <c r="M34" i="21"/>
  <c r="Q34" i="21"/>
  <c r="I35" i="21"/>
  <c r="L34" i="21"/>
  <c r="L35" i="5"/>
  <c r="M32" i="5" l="1"/>
  <c r="M34" i="5" s="1"/>
  <c r="AN34" i="3" s="1"/>
  <c r="AM35" i="3"/>
  <c r="L36" i="5"/>
  <c r="K35" i="21"/>
  <c r="M35" i="5" l="1"/>
  <c r="V35" i="21"/>
  <c r="J35" i="21"/>
  <c r="N32" i="5" l="1"/>
  <c r="N34" i="5" s="1"/>
  <c r="AO34" i="3" s="1"/>
  <c r="AN35" i="3"/>
  <c r="M35" i="21"/>
  <c r="I36" i="21"/>
  <c r="L35" i="21"/>
  <c r="T35" i="21"/>
  <c r="M36" i="5"/>
  <c r="AP34" i="3" l="1"/>
  <c r="U35" i="21"/>
  <c r="S36" i="21"/>
  <c r="N35" i="5"/>
  <c r="AO35" i="3" s="1"/>
  <c r="AP35" i="3" s="1"/>
  <c r="O34" i="5"/>
  <c r="E32" i="4" s="1"/>
  <c r="E35" i="4" s="1"/>
  <c r="K36" i="21"/>
  <c r="Q35" i="21"/>
  <c r="G2" i="25" l="1"/>
  <c r="J2" i="25" s="1"/>
  <c r="V36" i="21"/>
  <c r="J36" i="21"/>
  <c r="O35" i="5"/>
  <c r="J9" i="4" s="1"/>
  <c r="C40" i="5"/>
  <c r="C42" i="5" s="1"/>
  <c r="N36" i="5"/>
  <c r="O36" i="5" s="1"/>
  <c r="I6" i="25" l="1"/>
  <c r="L50" i="25"/>
  <c r="L51" i="25"/>
  <c r="L52" i="25"/>
  <c r="I11" i="25"/>
  <c r="M59" i="25"/>
  <c r="L49" i="25"/>
  <c r="I16" i="25"/>
  <c r="L53" i="25"/>
  <c r="I61" i="25"/>
  <c r="C7" i="25" s="1"/>
  <c r="Q2" i="25"/>
  <c r="P61" i="25" s="1"/>
  <c r="C43" i="5"/>
  <c r="C44" i="5" s="1"/>
  <c r="L36" i="21"/>
  <c r="I37" i="21"/>
  <c r="M36" i="21"/>
  <c r="T36" i="21"/>
  <c r="I36" i="25" l="1"/>
  <c r="I46" i="25"/>
  <c r="J4" i="25"/>
  <c r="C4" i="25" s="1"/>
  <c r="S52" i="25"/>
  <c r="S51" i="25"/>
  <c r="S49" i="25"/>
  <c r="P6" i="25"/>
  <c r="T59" i="25"/>
  <c r="S50" i="25"/>
  <c r="P11" i="25"/>
  <c r="P16" i="25"/>
  <c r="S53" i="25"/>
  <c r="S37" i="21"/>
  <c r="U36" i="21"/>
  <c r="K37" i="21"/>
  <c r="Q36" i="21"/>
  <c r="D40" i="5"/>
  <c r="L42" i="25" l="1"/>
  <c r="B25" i="25"/>
  <c r="B26" i="25" s="1"/>
  <c r="C25" i="25"/>
  <c r="C26" i="25" s="1"/>
  <c r="S42" i="25"/>
  <c r="L44" i="25"/>
  <c r="L43" i="25"/>
  <c r="M58" i="25"/>
  <c r="I55" i="25" s="1"/>
  <c r="C8" i="25" s="1"/>
  <c r="D25" i="25"/>
  <c r="D26" i="25" s="1"/>
  <c r="P46" i="25"/>
  <c r="P36" i="25"/>
  <c r="Q4" i="25" s="1"/>
  <c r="B7" i="25" s="1"/>
  <c r="D42" i="5"/>
  <c r="V37" i="21"/>
  <c r="J37" i="21"/>
  <c r="T37" i="21" s="1"/>
  <c r="C5" i="25" l="1"/>
  <c r="I39" i="25"/>
  <c r="C6" i="25" s="1"/>
  <c r="B4" i="25"/>
  <c r="D20" i="25" s="1"/>
  <c r="D21" i="25" s="1"/>
  <c r="G5" i="25"/>
  <c r="U37" i="21"/>
  <c r="S38" i="21"/>
  <c r="L37" i="21"/>
  <c r="Q37" i="21"/>
  <c r="I38" i="21"/>
  <c r="M37" i="21"/>
  <c r="D43" i="5"/>
  <c r="D44" i="5" s="1"/>
  <c r="C10" i="25" l="1"/>
  <c r="C11" i="25" s="1"/>
  <c r="B34" i="25"/>
  <c r="B35" i="25" s="1"/>
  <c r="C34" i="25"/>
  <c r="C35" i="25" s="1"/>
  <c r="S43" i="25"/>
  <c r="S44" i="25"/>
  <c r="C20" i="25"/>
  <c r="C21" i="25" s="1"/>
  <c r="B20" i="25"/>
  <c r="B21" i="25" s="1"/>
  <c r="T58" i="25"/>
  <c r="P55" i="25" s="1"/>
  <c r="B8" i="25" s="1"/>
  <c r="E40" i="5"/>
  <c r="K38" i="21"/>
  <c r="C9" i="25" l="1"/>
  <c r="B9" i="25"/>
  <c r="E37" i="4" s="1"/>
  <c r="AP36" i="3" s="1"/>
  <c r="B5" i="25"/>
  <c r="P39" i="25"/>
  <c r="B6" i="25" s="1"/>
  <c r="V38" i="21"/>
  <c r="J38" i="21"/>
  <c r="E42" i="5"/>
  <c r="AO36" i="3" l="1"/>
  <c r="AL36" i="3"/>
  <c r="AI36" i="3"/>
  <c r="AF36" i="3"/>
  <c r="E45" i="4"/>
  <c r="E40" i="4"/>
  <c r="E41" i="4" s="1"/>
  <c r="AP38" i="3" s="1"/>
  <c r="B10" i="25"/>
  <c r="L38" i="21"/>
  <c r="I39" i="21"/>
  <c r="T38" i="21"/>
  <c r="E43" i="5"/>
  <c r="M38" i="21"/>
  <c r="AO38" i="3" l="1"/>
  <c r="AO44" i="3" s="1"/>
  <c r="AO46" i="3" s="1"/>
  <c r="AJ38" i="3"/>
  <c r="AJ44" i="3" s="1"/>
  <c r="AJ46" i="3" s="1"/>
  <c r="AI38" i="3"/>
  <c r="AI44" i="3" s="1"/>
  <c r="AI46" i="3" s="1"/>
  <c r="AD38" i="3"/>
  <c r="AD44" i="3" s="1"/>
  <c r="AG38" i="3"/>
  <c r="AG44" i="3" s="1"/>
  <c r="AG46" i="3" s="1"/>
  <c r="AH38" i="3"/>
  <c r="AH44" i="3" s="1"/>
  <c r="AH46" i="3" s="1"/>
  <c r="AF38" i="3"/>
  <c r="AF44" i="3" s="1"/>
  <c r="AF46" i="3" s="1"/>
  <c r="AM38" i="3"/>
  <c r="AM44" i="3" s="1"/>
  <c r="AM46" i="3" s="1"/>
  <c r="AN38" i="3"/>
  <c r="AN44" i="3" s="1"/>
  <c r="AN46" i="3" s="1"/>
  <c r="AK38" i="3"/>
  <c r="AK44" i="3" s="1"/>
  <c r="AK46" i="3" s="1"/>
  <c r="AL38" i="3"/>
  <c r="AL44" i="3" s="1"/>
  <c r="AL46" i="3" s="1"/>
  <c r="AE38" i="3"/>
  <c r="AE44" i="3" s="1"/>
  <c r="AE46" i="3" s="1"/>
  <c r="B11" i="25"/>
  <c r="E46" i="4"/>
  <c r="F40" i="5"/>
  <c r="S39" i="21"/>
  <c r="U38" i="21"/>
  <c r="K39" i="21"/>
  <c r="Q38" i="21"/>
  <c r="E44" i="5"/>
  <c r="AP44" i="3" l="1"/>
  <c r="AD46" i="3"/>
  <c r="AD48" i="3" s="1"/>
  <c r="AE5" i="3" s="1"/>
  <c r="AE48" i="3" s="1"/>
  <c r="AF5" i="3" s="1"/>
  <c r="AF48" i="3" s="1"/>
  <c r="AG5" i="3" s="1"/>
  <c r="AG48" i="3" s="1"/>
  <c r="AH5" i="3" s="1"/>
  <c r="AH48" i="3" s="1"/>
  <c r="AI5" i="3" s="1"/>
  <c r="AI48" i="3" s="1"/>
  <c r="AJ5" i="3" s="1"/>
  <c r="AJ48" i="3" s="1"/>
  <c r="AK5" i="3" s="1"/>
  <c r="AK48" i="3" s="1"/>
  <c r="AL5" i="3" s="1"/>
  <c r="AL48" i="3" s="1"/>
  <c r="AM5" i="3" s="1"/>
  <c r="AM48" i="3" s="1"/>
  <c r="AN5" i="3" s="1"/>
  <c r="AN48" i="3" s="1"/>
  <c r="AO5" i="3" s="1"/>
  <c r="AO48" i="3" s="1"/>
  <c r="E49" i="4"/>
  <c r="J4" i="4" s="1"/>
  <c r="J6" i="4" s="1"/>
  <c r="J11" i="4" s="1"/>
  <c r="F42" i="5"/>
  <c r="V39" i="21"/>
  <c r="J39" i="21"/>
  <c r="L39" i="21" s="1"/>
  <c r="M39" i="21" l="1"/>
  <c r="F43" i="5"/>
  <c r="I40" i="21"/>
  <c r="T39" i="21"/>
  <c r="U39" i="21" l="1"/>
  <c r="S40" i="21"/>
  <c r="G40" i="5"/>
  <c r="K40" i="21"/>
  <c r="Q39" i="21"/>
  <c r="F44" i="5"/>
  <c r="V40" i="21" l="1"/>
  <c r="J40" i="21"/>
  <c r="T40" i="21" s="1"/>
  <c r="G42" i="5"/>
  <c r="Q40" i="21" l="1"/>
  <c r="U40" i="21"/>
  <c r="S41" i="21"/>
  <c r="M40" i="21"/>
  <c r="L40" i="21"/>
  <c r="I41" i="21"/>
  <c r="G43" i="5"/>
  <c r="G44" i="5" s="1"/>
  <c r="H40" i="5" l="1"/>
  <c r="K41" i="21"/>
  <c r="V41" i="21" l="1"/>
  <c r="J41" i="21"/>
  <c r="H42" i="5"/>
  <c r="T41" i="21" l="1"/>
  <c r="Q41" i="21" s="1"/>
  <c r="I42" i="21"/>
  <c r="M41" i="21"/>
  <c r="H43" i="5"/>
  <c r="I40" i="5" s="1"/>
  <c r="L41" i="21"/>
  <c r="I42" i="5" l="1"/>
  <c r="H44" i="5"/>
  <c r="K42" i="21"/>
  <c r="S42" i="21"/>
  <c r="U41" i="21"/>
  <c r="V42" i="21" l="1"/>
  <c r="J42" i="21"/>
  <c r="T42" i="21" s="1"/>
  <c r="I43" i="5"/>
  <c r="J40" i="5" s="1"/>
  <c r="U42" i="21" l="1"/>
  <c r="S43" i="21"/>
  <c r="J42" i="5"/>
  <c r="L42" i="21"/>
  <c r="I44" i="5"/>
  <c r="Q42" i="21"/>
  <c r="I43" i="21"/>
  <c r="M42" i="21"/>
  <c r="J43" i="5" l="1"/>
  <c r="K40" i="5" s="1"/>
  <c r="K43" i="21"/>
  <c r="V43" i="21" l="1"/>
  <c r="J43" i="21"/>
  <c r="J44" i="5"/>
  <c r="K42" i="5"/>
  <c r="K43" i="5" l="1"/>
  <c r="L40" i="5" s="1"/>
  <c r="M43" i="21"/>
  <c r="I44" i="21"/>
  <c r="L43" i="21"/>
  <c r="T43" i="21"/>
  <c r="U43" i="21" l="1"/>
  <c r="S44" i="21"/>
  <c r="K44" i="21"/>
  <c r="Q43" i="21"/>
  <c r="K44" i="5"/>
  <c r="L42" i="5"/>
  <c r="L43" i="5" l="1"/>
  <c r="M40" i="5" s="1"/>
  <c r="V44" i="21"/>
  <c r="J44" i="21"/>
  <c r="M44" i="21" s="1"/>
  <c r="L44" i="21" l="1"/>
  <c r="T44" i="21"/>
  <c r="I45" i="21"/>
  <c r="L44" i="5"/>
  <c r="M42" i="5"/>
  <c r="M43" i="5" l="1"/>
  <c r="N40" i="5" s="1"/>
  <c r="N42" i="5" s="1"/>
  <c r="U44" i="21"/>
  <c r="S45" i="21"/>
  <c r="K45" i="21"/>
  <c r="Q44" i="21"/>
  <c r="V45" i="21" l="1"/>
  <c r="J45" i="21"/>
  <c r="L45" i="21" s="1"/>
  <c r="M44" i="5"/>
  <c r="N43" i="5"/>
  <c r="N44" i="5" s="1"/>
  <c r="O42" i="5"/>
  <c r="O44" i="5" l="1"/>
  <c r="M45" i="21"/>
  <c r="T45" i="21"/>
  <c r="S46" i="21" s="1"/>
  <c r="I46" i="21"/>
  <c r="C48" i="5"/>
  <c r="O43" i="5"/>
  <c r="Q45" i="21" l="1"/>
  <c r="U45" i="21"/>
  <c r="K46" i="21"/>
  <c r="C50" i="5"/>
  <c r="C51" i="5" l="1"/>
  <c r="C52" i="5" s="1"/>
  <c r="V46" i="21"/>
  <c r="J46" i="21"/>
  <c r="L46" i="21" s="1"/>
  <c r="M46" i="21" l="1"/>
  <c r="T46" i="21"/>
  <c r="I47" i="21"/>
  <c r="D48" i="5"/>
  <c r="D50" i="5" l="1"/>
  <c r="Q46" i="21"/>
  <c r="U46" i="21"/>
  <c r="S47" i="21"/>
  <c r="K47" i="21"/>
  <c r="V47" i="21" l="1"/>
  <c r="J47" i="21"/>
  <c r="D51" i="5"/>
  <c r="I48" i="21" l="1"/>
  <c r="E48" i="5"/>
  <c r="E50" i="5" s="1"/>
  <c r="M47" i="21"/>
  <c r="L47" i="21"/>
  <c r="D52" i="5"/>
  <c r="T47" i="21"/>
  <c r="U47" i="21" l="1"/>
  <c r="S48" i="21"/>
  <c r="K48" i="21"/>
  <c r="E51" i="5"/>
  <c r="Q47" i="21"/>
  <c r="F48" i="5" l="1"/>
  <c r="E52" i="5"/>
  <c r="V48" i="21"/>
  <c r="J48" i="21"/>
  <c r="M48" i="21" s="1"/>
  <c r="L48" i="21" l="1"/>
  <c r="T48" i="21"/>
  <c r="Q48" i="21" s="1"/>
  <c r="I49" i="21"/>
  <c r="F50" i="5"/>
  <c r="K49" i="21" l="1"/>
  <c r="U48" i="21"/>
  <c r="S49" i="21"/>
  <c r="F51" i="5"/>
  <c r="G48" i="5" l="1"/>
  <c r="G50" i="5" s="1"/>
  <c r="F52" i="5"/>
  <c r="V49" i="21"/>
  <c r="J49" i="21"/>
  <c r="M49" i="21" s="1"/>
  <c r="T49" i="21" l="1"/>
  <c r="U49" i="21" s="1"/>
  <c r="G51" i="5"/>
  <c r="L49" i="21"/>
  <c r="I50" i="21"/>
  <c r="S50" i="21" l="1"/>
  <c r="Q49" i="21"/>
  <c r="H48" i="5"/>
  <c r="K50" i="21"/>
  <c r="G52" i="5"/>
  <c r="H50" i="5" l="1"/>
  <c r="V50" i="21"/>
  <c r="J50" i="21"/>
  <c r="T50" i="21" l="1"/>
  <c r="Q50" i="21" s="1"/>
  <c r="L50" i="21"/>
  <c r="I51" i="21"/>
  <c r="M50" i="21"/>
  <c r="H51" i="5"/>
  <c r="I48" i="5" s="1"/>
  <c r="I50" i="5" s="1"/>
  <c r="H52" i="5" l="1"/>
  <c r="I51" i="5"/>
  <c r="J48" i="5" s="1"/>
  <c r="K51" i="21"/>
  <c r="S51" i="21"/>
  <c r="U50" i="21"/>
  <c r="V51" i="21" l="1"/>
  <c r="J51" i="21"/>
  <c r="I52" i="5"/>
  <c r="J50" i="5"/>
  <c r="I52" i="21" l="1"/>
  <c r="J51" i="5"/>
  <c r="K48" i="5" s="1"/>
  <c r="L51" i="21"/>
  <c r="M51" i="21"/>
  <c r="T51" i="21"/>
  <c r="S52" i="21" l="1"/>
  <c r="U51" i="21"/>
  <c r="K50" i="5"/>
  <c r="J52" i="5"/>
  <c r="K52" i="21"/>
  <c r="Q51" i="21"/>
  <c r="V52" i="21" l="1"/>
  <c r="J52" i="21"/>
  <c r="T52" i="21" s="1"/>
  <c r="K51" i="5"/>
  <c r="L48" i="5" s="1"/>
  <c r="Q52" i="21" l="1"/>
  <c r="U52" i="21"/>
  <c r="S53" i="21"/>
  <c r="L52" i="21"/>
  <c r="K52" i="5"/>
  <c r="M52" i="21"/>
  <c r="I53" i="21"/>
  <c r="L50" i="5"/>
  <c r="L51" i="5" l="1"/>
  <c r="M48" i="5" s="1"/>
  <c r="K53" i="21"/>
  <c r="V53" i="21" l="1"/>
  <c r="J53" i="21"/>
  <c r="M50" i="5"/>
  <c r="L52" i="5"/>
  <c r="M51" i="5" l="1"/>
  <c r="N48" i="5" s="1"/>
  <c r="N50" i="5" s="1"/>
  <c r="L53" i="21"/>
  <c r="I54" i="21"/>
  <c r="M53" i="21"/>
  <c r="T53" i="21"/>
  <c r="Q53" i="21" s="1"/>
  <c r="S54" i="21" l="1"/>
  <c r="U53" i="21"/>
  <c r="K54" i="21"/>
  <c r="M52" i="5"/>
  <c r="N51" i="5"/>
  <c r="O50" i="5"/>
  <c r="C56" i="5" l="1"/>
  <c r="O51" i="5"/>
  <c r="V54" i="21"/>
  <c r="J54" i="21"/>
  <c r="M54" i="21" s="1"/>
  <c r="N52" i="5"/>
  <c r="O52" i="5" s="1"/>
  <c r="I55" i="21" l="1"/>
  <c r="L54" i="21"/>
  <c r="T54" i="21"/>
  <c r="C58" i="5"/>
  <c r="C59" i="5" l="1"/>
  <c r="D56" i="5" s="1"/>
  <c r="S55" i="21"/>
  <c r="U54" i="21"/>
  <c r="K55" i="21"/>
  <c r="Q54" i="21"/>
  <c r="D58" i="5" l="1"/>
  <c r="V55" i="21"/>
  <c r="J55" i="21"/>
  <c r="C60" i="5"/>
  <c r="L55" i="21" l="1"/>
  <c r="I56" i="21"/>
  <c r="M55" i="21"/>
  <c r="T55" i="21"/>
  <c r="D59" i="5"/>
  <c r="E56" i="5" s="1"/>
  <c r="S56" i="21" l="1"/>
  <c r="U55" i="21"/>
  <c r="E58" i="5"/>
  <c r="K56" i="21"/>
  <c r="Q55" i="21"/>
  <c r="D60" i="5"/>
  <c r="V56" i="21" l="1"/>
  <c r="J56" i="21"/>
  <c r="M56" i="21" s="1"/>
  <c r="E59" i="5"/>
  <c r="F56" i="5" s="1"/>
  <c r="E60" i="5" l="1"/>
  <c r="F58" i="5"/>
  <c r="L56" i="21"/>
  <c r="I57" i="21"/>
  <c r="T56" i="21"/>
  <c r="K57" i="21" l="1"/>
  <c r="Q56" i="21"/>
  <c r="S57" i="21"/>
  <c r="U56" i="21"/>
  <c r="F59" i="5"/>
  <c r="G56" i="5" s="1"/>
  <c r="F60" i="5" l="1"/>
  <c r="G58" i="5"/>
  <c r="G59" i="5" s="1"/>
  <c r="H56" i="5" s="1"/>
  <c r="H58" i="5" s="1"/>
  <c r="V57" i="21"/>
  <c r="J57" i="21"/>
  <c r="L57" i="21" s="1"/>
  <c r="M57" i="21" l="1"/>
  <c r="H59" i="5"/>
  <c r="I56" i="5" s="1"/>
  <c r="I58" i="5" s="1"/>
  <c r="G60" i="5"/>
  <c r="I58" i="21"/>
  <c r="T57" i="21"/>
  <c r="U57" i="21" l="1"/>
  <c r="S58" i="21"/>
  <c r="Q57" i="21"/>
  <c r="K58" i="21"/>
  <c r="I59" i="5"/>
  <c r="J56" i="5" s="1"/>
  <c r="H60" i="5"/>
  <c r="J58" i="5" l="1"/>
  <c r="V58" i="21"/>
  <c r="J58" i="21"/>
  <c r="I60" i="5"/>
  <c r="T58" i="21" l="1"/>
  <c r="Q58" i="21" s="1"/>
  <c r="I59" i="21"/>
  <c r="M58" i="21"/>
  <c r="L58" i="21"/>
  <c r="J59" i="5"/>
  <c r="K56" i="5" s="1"/>
  <c r="K58" i="5" s="1"/>
  <c r="J60" i="5" l="1"/>
  <c r="K59" i="21"/>
  <c r="K59" i="5"/>
  <c r="L56" i="5" s="1"/>
  <c r="U58" i="21"/>
  <c r="S59" i="21"/>
  <c r="K60" i="5" l="1"/>
  <c r="L58" i="5"/>
  <c r="V59" i="21"/>
  <c r="J59" i="21"/>
  <c r="T59" i="21" s="1"/>
  <c r="U59" i="21" l="1"/>
  <c r="S60" i="21"/>
  <c r="L59" i="5"/>
  <c r="M56" i="5" s="1"/>
  <c r="Q59" i="21"/>
  <c r="I60" i="21"/>
  <c r="L59" i="21"/>
  <c r="M59" i="21"/>
  <c r="L60" i="5" l="1"/>
  <c r="K60" i="21"/>
  <c r="M58" i="5"/>
  <c r="M59" i="5"/>
  <c r="N56" i="5" s="1"/>
  <c r="M60" i="5" l="1"/>
  <c r="N58" i="5"/>
  <c r="V60" i="21"/>
  <c r="J60" i="21"/>
  <c r="N59" i="5" l="1"/>
  <c r="N60" i="5" s="1"/>
  <c r="O60" i="5" s="1"/>
  <c r="O58" i="5"/>
  <c r="I61" i="21"/>
  <c r="T60" i="21"/>
  <c r="L60" i="21"/>
  <c r="M60" i="21"/>
  <c r="S61" i="21" l="1"/>
  <c r="U60" i="21"/>
  <c r="Q60" i="21"/>
  <c r="K61" i="21"/>
  <c r="O59" i="5"/>
  <c r="C64" i="5"/>
  <c r="C66" i="5" l="1"/>
  <c r="V61" i="21"/>
  <c r="J61" i="21"/>
  <c r="L61" i="21" s="1"/>
  <c r="M61" i="21" l="1"/>
  <c r="I62" i="21"/>
  <c r="T61" i="21"/>
  <c r="C67" i="5"/>
  <c r="D64" i="5" l="1"/>
  <c r="Q61" i="21"/>
  <c r="U61" i="21"/>
  <c r="S62" i="21"/>
  <c r="C68" i="5"/>
  <c r="K62" i="21"/>
  <c r="V62" i="21" l="1"/>
  <c r="J62" i="21"/>
  <c r="M62" i="21" s="1"/>
  <c r="D66" i="5"/>
  <c r="D67" i="5" l="1"/>
  <c r="D68" i="5" s="1"/>
  <c r="L62" i="21"/>
  <c r="T62" i="21"/>
  <c r="I63" i="21"/>
  <c r="K63" i="21" l="1"/>
  <c r="S63" i="21"/>
  <c r="U62" i="21"/>
  <c r="Q62" i="21"/>
  <c r="E64" i="5"/>
  <c r="E66" i="5" s="1"/>
  <c r="E67" i="5" l="1"/>
  <c r="E68" i="5" s="1"/>
  <c r="V63" i="21"/>
  <c r="J63" i="21"/>
  <c r="L63" i="21" s="1"/>
  <c r="T63" i="21" l="1"/>
  <c r="M63" i="21"/>
  <c r="I64" i="21"/>
  <c r="F64" i="5"/>
  <c r="F66" i="5" s="1"/>
  <c r="Q63" i="21" l="1"/>
  <c r="U63" i="21"/>
  <c r="S64" i="21"/>
  <c r="F67" i="5"/>
  <c r="F68" i="5" s="1"/>
  <c r="K64" i="21"/>
  <c r="G64" i="5" l="1"/>
  <c r="V64" i="21"/>
  <c r="J64" i="21"/>
  <c r="L64" i="21" l="1"/>
  <c r="I65" i="21"/>
  <c r="T64" i="21"/>
  <c r="Q64" i="21" s="1"/>
  <c r="M64" i="21"/>
  <c r="G66" i="5"/>
  <c r="G67" i="5" l="1"/>
  <c r="K65" i="21"/>
  <c r="U64" i="21"/>
  <c r="S65" i="21"/>
  <c r="V65" i="21" l="1"/>
  <c r="J65" i="21"/>
  <c r="T65" i="21" s="1"/>
  <c r="H64" i="5"/>
  <c r="H66" i="5" s="1"/>
  <c r="G68" i="5"/>
  <c r="S66" i="21" l="1"/>
  <c r="U65" i="21"/>
  <c r="H67" i="5"/>
  <c r="I64" i="5" s="1"/>
  <c r="I66" i="5" s="1"/>
  <c r="L65" i="21"/>
  <c r="M65" i="21"/>
  <c r="Q65" i="21"/>
  <c r="I66" i="21"/>
  <c r="H68" i="5" l="1"/>
  <c r="K66" i="21"/>
  <c r="I67" i="5"/>
  <c r="J64" i="5" s="1"/>
  <c r="I68" i="5" l="1"/>
  <c r="J66" i="5"/>
  <c r="V66" i="21"/>
  <c r="J66" i="21"/>
  <c r="I67" i="21" l="1"/>
  <c r="M66" i="21"/>
  <c r="L66" i="21"/>
  <c r="T66" i="21"/>
  <c r="Q66" i="21" s="1"/>
  <c r="J67" i="5"/>
  <c r="K64" i="5" s="1"/>
  <c r="J68" i="5" l="1"/>
  <c r="K66" i="5"/>
  <c r="U66" i="21"/>
  <c r="S67" i="21"/>
  <c r="K67" i="21"/>
  <c r="V67" i="21" l="1"/>
  <c r="J67" i="21"/>
  <c r="K67" i="5"/>
  <c r="L64" i="5" s="1"/>
  <c r="I68" i="21" l="1"/>
  <c r="L66" i="5"/>
  <c r="M67" i="21"/>
  <c r="T67" i="21"/>
  <c r="K68" i="5"/>
  <c r="L67" i="21"/>
  <c r="U67" i="21" l="1"/>
  <c r="S68" i="21"/>
  <c r="L67" i="5"/>
  <c r="M64" i="5" s="1"/>
  <c r="K68" i="21"/>
  <c r="Q67" i="21"/>
  <c r="L68" i="5" l="1"/>
  <c r="V68" i="21"/>
  <c r="J68" i="21"/>
  <c r="T68" i="21" s="1"/>
  <c r="M66" i="5"/>
  <c r="S69" i="21" l="1"/>
  <c r="U68" i="21"/>
  <c r="M68" i="21"/>
  <c r="L68" i="21"/>
  <c r="M67" i="5"/>
  <c r="N64" i="5" s="1"/>
  <c r="N66" i="5" s="1"/>
  <c r="Q68" i="21"/>
  <c r="I69" i="21"/>
  <c r="K69" i="21" s="1"/>
  <c r="M68" i="5" l="1"/>
  <c r="V69" i="21"/>
  <c r="J69" i="21"/>
  <c r="I70" i="21" s="1"/>
  <c r="K70" i="21" s="1"/>
  <c r="N67" i="5"/>
  <c r="N68" i="5" s="1"/>
  <c r="O66" i="5"/>
  <c r="T69" i="21" l="1"/>
  <c r="Q69" i="21" s="1"/>
  <c r="O68" i="5"/>
  <c r="M69" i="21"/>
  <c r="J9" i="5" s="1"/>
  <c r="J10" i="5" s="1"/>
  <c r="H23" i="2" s="1"/>
  <c r="L69" i="21"/>
  <c r="C72" i="5"/>
  <c r="O67" i="5"/>
  <c r="U69" i="21" l="1"/>
  <c r="C74" i="5"/>
  <c r="C75" i="5" l="1"/>
  <c r="D72" i="5" s="1"/>
  <c r="D74" i="5" l="1"/>
  <c r="C76" i="5"/>
  <c r="D75" i="5" l="1"/>
  <c r="E72" i="5" s="1"/>
  <c r="E74" i="5" s="1"/>
  <c r="D76" i="5" l="1"/>
  <c r="E75" i="5"/>
  <c r="F72" i="5" s="1"/>
  <c r="F74" i="5" s="1"/>
  <c r="E76" i="5" l="1"/>
  <c r="F75" i="5"/>
  <c r="G72" i="5" s="1"/>
  <c r="F76" i="5" l="1"/>
  <c r="G74" i="5"/>
  <c r="G75" i="5" l="1"/>
  <c r="H72" i="5" s="1"/>
  <c r="H74" i="5" s="1"/>
  <c r="G76" i="5" l="1"/>
  <c r="H75" i="5"/>
  <c r="I72" i="5" s="1"/>
  <c r="I74" i="5" s="1"/>
  <c r="H76" i="5" l="1"/>
  <c r="I75" i="5"/>
  <c r="J72" i="5" s="1"/>
  <c r="I76" i="5" l="1"/>
  <c r="J74" i="5"/>
  <c r="J75" i="5" l="1"/>
  <c r="K72" i="5" s="1"/>
  <c r="K74" i="5" s="1"/>
  <c r="J76" i="5" l="1"/>
  <c r="K75" i="5"/>
  <c r="L72" i="5" s="1"/>
  <c r="K76" i="5" l="1"/>
  <c r="L74" i="5"/>
  <c r="L75" i="5" l="1"/>
  <c r="M72" i="5" s="1"/>
  <c r="L76" i="5" l="1"/>
  <c r="M74" i="5"/>
  <c r="M75" i="5" l="1"/>
  <c r="N72" i="5" s="1"/>
  <c r="M76" i="5" l="1"/>
  <c r="N74" i="5"/>
  <c r="N75" i="5" l="1"/>
  <c r="N76" i="5" s="1"/>
  <c r="O76" i="5" s="1"/>
  <c r="O74" i="5"/>
  <c r="O75" i="5" l="1"/>
  <c r="C80" i="5"/>
  <c r="C82" i="5" l="1"/>
  <c r="C83" i="5" l="1"/>
  <c r="D80" i="5" l="1"/>
  <c r="D82" i="5" s="1"/>
  <c r="C84" i="5"/>
  <c r="D83" i="5" l="1"/>
  <c r="E80" i="5" l="1"/>
  <c r="D84" i="5"/>
  <c r="E82" i="5" l="1"/>
  <c r="E83" i="5" l="1"/>
  <c r="F80" i="5" l="1"/>
  <c r="E84" i="5"/>
  <c r="F82" i="5" l="1"/>
  <c r="F83" i="5" l="1"/>
  <c r="F84" i="5" s="1"/>
  <c r="G80" i="5" l="1"/>
  <c r="G82" i="5" s="1"/>
  <c r="G83" i="5" l="1"/>
  <c r="G84" i="5" s="1"/>
  <c r="H80" i="5" l="1"/>
  <c r="H82" i="5" s="1"/>
  <c r="H83" i="5" l="1"/>
  <c r="I80" i="5" s="1"/>
  <c r="H84" i="5" l="1"/>
  <c r="I82" i="5"/>
  <c r="I83" i="5" l="1"/>
  <c r="J80" i="5" s="1"/>
  <c r="I84" i="5" l="1"/>
  <c r="J82" i="5"/>
  <c r="J83" i="5" l="1"/>
  <c r="K80" i="5" s="1"/>
  <c r="J84" i="5" l="1"/>
  <c r="K82" i="5"/>
  <c r="K83" i="5" l="1"/>
  <c r="L80" i="5" s="1"/>
  <c r="L82" i="5" s="1"/>
  <c r="K84" i="5" l="1"/>
  <c r="L83" i="5"/>
  <c r="M80" i="5" s="1"/>
  <c r="L84" i="5" l="1"/>
  <c r="M82" i="5"/>
  <c r="M83" i="5" s="1"/>
  <c r="N80" i="5" s="1"/>
  <c r="N82" i="5" l="1"/>
  <c r="N83" i="5"/>
  <c r="M84" i="5"/>
  <c r="C88" i="5" l="1"/>
  <c r="C90" i="5" s="1"/>
  <c r="O83" i="5"/>
  <c r="N84" i="5"/>
  <c r="O84" i="5" s="1"/>
  <c r="O82" i="5"/>
  <c r="C91" i="5" l="1"/>
  <c r="D88" i="5" s="1"/>
  <c r="D90" i="5" s="1"/>
  <c r="C92" i="5" l="1"/>
  <c r="D91" i="5"/>
  <c r="E88" i="5" s="1"/>
  <c r="E90" i="5" s="1"/>
  <c r="D92" i="5" l="1"/>
  <c r="E91" i="5"/>
  <c r="F88" i="5" s="1"/>
  <c r="F90" i="5" s="1"/>
  <c r="E92" i="5" l="1"/>
  <c r="F91" i="5"/>
  <c r="G88" i="5" s="1"/>
  <c r="F92" i="5" l="1"/>
  <c r="G90" i="5"/>
  <c r="G91" i="5" l="1"/>
  <c r="H88" i="5" s="1"/>
  <c r="H90" i="5" s="1"/>
  <c r="G92" i="5" l="1"/>
  <c r="H91" i="5"/>
  <c r="I88" i="5" s="1"/>
  <c r="I90" i="5" s="1"/>
  <c r="H92" i="5" l="1"/>
  <c r="I91" i="5"/>
  <c r="J88" i="5" s="1"/>
  <c r="J90" i="5" s="1"/>
  <c r="I92" i="5" l="1"/>
  <c r="J91" i="5"/>
  <c r="K88" i="5" s="1"/>
  <c r="K90" i="5" s="1"/>
  <c r="J92" i="5" l="1"/>
  <c r="K91" i="5"/>
  <c r="L88" i="5" s="1"/>
  <c r="K92" i="5" l="1"/>
  <c r="L90" i="5"/>
  <c r="L91" i="5" l="1"/>
  <c r="M88" i="5" s="1"/>
  <c r="L92" i="5" l="1"/>
  <c r="M90" i="5"/>
  <c r="M91" i="5" l="1"/>
  <c r="N88" i="5" s="1"/>
  <c r="N90" i="5" s="1"/>
  <c r="M92" i="5" l="1"/>
  <c r="N91" i="5"/>
  <c r="O91" i="5" s="1"/>
  <c r="J5" i="5" s="1"/>
  <c r="O90" i="5"/>
  <c r="J6" i="5" s="1"/>
  <c r="N92" i="5" l="1"/>
  <c r="O92" i="5" s="1"/>
  <c r="J4" i="5" s="1"/>
</calcChain>
</file>

<file path=xl/sharedStrings.xml><?xml version="1.0" encoding="utf-8"?>
<sst xmlns="http://schemas.openxmlformats.org/spreadsheetml/2006/main" count="2047" uniqueCount="1300">
  <si>
    <t>Select your language:</t>
  </si>
  <si>
    <t>Nederlands</t>
  </si>
  <si>
    <t>Financieel plan</t>
  </si>
  <si>
    <t>N.B.: Voordat je verder gaat moet het bestand worden opgeslagen op jouw computer. Dit doe je via Bestand -&gt; Opslaan als, of met F12.</t>
  </si>
  <si>
    <t>Introductie</t>
  </si>
  <si>
    <t>Het maken van een financieel plan is een belangrijk onderdeel van je ondernemingsplan, zeker als je een financiering wilt aanvragen. Een compleet financieel plan bestaat  minimaal uit onderstaande begrotingen. Klik op de onderstaande begrotingen om ze te bekijken.</t>
  </si>
  <si>
    <t xml:space="preserve">    Investeringsbegroting</t>
  </si>
  <si>
    <t xml:space="preserve">    Financieringsbegroting</t>
  </si>
  <si>
    <t xml:space="preserve">    Exploitatiebegroting</t>
  </si>
  <si>
    <t xml:space="preserve">    Liquiditeitsbegroting</t>
  </si>
  <si>
    <t>Hoe in te vullen?</t>
  </si>
  <si>
    <t xml:space="preserve">Dit financiële format helpt je met het opstellen van deze prognoses. </t>
  </si>
  <si>
    <r>
      <t>Het opstellen van dit financiële plan doe je door het beantwoorden van de vragen die worden gesteld op het</t>
    </r>
    <r>
      <rPr>
        <b/>
        <sz val="11"/>
        <color indexed="53"/>
        <rFont val="Calibri"/>
        <family val="2"/>
      </rPr>
      <t xml:space="preserve"> tabblad VRAGENIJST</t>
    </r>
  </si>
  <si>
    <t>Bij de meeste vragen moet je een bedrag invullen, bij andere vragen moet een getal of onderdeel selecteren uit een lijst.</t>
  </si>
  <si>
    <t>Door het beantwoorden van de vragenlijst, worden de financiële overzichten automatisch ingevuld en doorgerekend.</t>
  </si>
  <si>
    <t>Deze overzichten zijn te vinden op de blauw gekleurden tabbladen. Deze tabbladen zijn niet in te vullen of te wijzigen. Als je een wijziging wilt aanbrengen doe je dat door het antwoord op de vraag in de vragenlijst te wijzigen!</t>
  </si>
  <si>
    <t>Voorbeeld bedrag invullen:</t>
  </si>
  <si>
    <t>Voorbeeld selecteren:</t>
  </si>
  <si>
    <r>
      <rPr>
        <b/>
        <sz val="11"/>
        <color indexed="62"/>
        <rFont val="Calibri"/>
        <family val="2"/>
      </rPr>
      <t xml:space="preserve">N.B: </t>
    </r>
    <r>
      <rPr>
        <sz val="11"/>
        <color indexed="62"/>
        <rFont val="Calibri"/>
        <family val="2"/>
      </rPr>
      <t>Mocht je een selectie ongedaan willen maken, gebruik dan de knop "Delete". Het is dan mogelijk alsnog een nieuwe selectie in te voeren. Als je een antwoord wijzigt door middel van een selectie in de "antwoordcel", kan het zijn dat een vervolgvraag die je al wel had beantwoord, niet meer van toepassing is en komt te vervallen. Het bedrag dat je had ingevuld, moet je dan ook verwijderen, anders wordt deze ten onrechte meegenomen in de financiële overzichten.</t>
    </r>
  </si>
  <si>
    <t>Uitprinten</t>
  </si>
  <si>
    <t>Je kunt het gehele financiële plan in één keer uitprinten door in het scherm 'afdrukken' het vakje 'hele werkmap' te selecteren.</t>
  </si>
  <si>
    <t>Financieringsaanvraag</t>
  </si>
  <si>
    <t xml:space="preserve">Als je dit plan opstelt ten behoeve van een financieringsaanvraag bij Qredits, </t>
  </si>
  <si>
    <t>dan kunt je het financiële plan samen met je ondernemingsplan uploaden via:</t>
  </si>
  <si>
    <t>https://qredits.nl/krediet/</t>
  </si>
  <si>
    <t xml:space="preserve">Disclaimer: Qredits draagt er zorg voor om de inhoud van deze module regelmatig bij te werken of toevoegingen hieraan te maken. Desalniettemin is Qredits niet aansprakelijk voor onjuistheden of onvolledigheden in de aangeboden inhoud. Qredits is op geen enkele wijze aansprakelijkheid voor schade voortvloeiend uit het gebruik van deze module. Het is de gebruiker slechts toegestaan om de module voor eigen gebruik op te slaan, af te drukken en te kopiëren.  </t>
  </si>
  <si>
    <t>Versie 4.2017.5</t>
  </si>
  <si>
    <t>1.</t>
  </si>
  <si>
    <t>Eenmanszaak</t>
  </si>
  <si>
    <t>Eén</t>
  </si>
  <si>
    <t>-</t>
  </si>
  <si>
    <t>Product 1</t>
  </si>
  <si>
    <t>Product 2</t>
  </si>
  <si>
    <t>Ja</t>
  </si>
  <si>
    <t>Direct</t>
  </si>
  <si>
    <t>Hoeveel is de inkoopwaarde van je omzet per maand?</t>
  </si>
  <si>
    <t>Getal:</t>
  </si>
  <si>
    <t>Maand 1</t>
  </si>
  <si>
    <t>vul bedrag in:</t>
  </si>
  <si>
    <t>Maand 2</t>
  </si>
  <si>
    <t>Maand 3</t>
  </si>
  <si>
    <t>Maand 4</t>
  </si>
  <si>
    <t>Maand 5</t>
  </si>
  <si>
    <t>Maand 6</t>
  </si>
  <si>
    <t>Maand 7</t>
  </si>
  <si>
    <t>Maand 8</t>
  </si>
  <si>
    <t>Maand 9</t>
  </si>
  <si>
    <t>Maand 10</t>
  </si>
  <si>
    <t>Maand 11</t>
  </si>
  <si>
    <t>Maand 12</t>
  </si>
  <si>
    <t xml:space="preserve">Wat is de vraagprijs van jouw product, dienst of uurtarief?  </t>
  </si>
  <si>
    <t>Selecteer:</t>
  </si>
  <si>
    <t>Totaal</t>
  </si>
  <si>
    <t>Effectieve rente - voor APR</t>
  </si>
  <si>
    <t>totaal</t>
  </si>
  <si>
    <t>Klik hier om VRAGENLIJST in te vullen</t>
  </si>
  <si>
    <t>Startersaftrek</t>
  </si>
  <si>
    <t>Meewerkaftrek</t>
  </si>
  <si>
    <t>English</t>
  </si>
  <si>
    <t>Espanol</t>
  </si>
  <si>
    <t>Papiamento</t>
  </si>
  <si>
    <t>Intro</t>
  </si>
  <si>
    <t>Introducción</t>
  </si>
  <si>
    <t>Introduccion</t>
  </si>
  <si>
    <t>Financial plan</t>
  </si>
  <si>
    <t>Plan Financiero</t>
  </si>
  <si>
    <t>PLEASE NOTE: Before you continue, the file must be stored on your computer. You do this by selecting File -&gt; Save As, or using F12.</t>
  </si>
  <si>
    <t xml:space="preserve">Nota: Antes de seguir, guardar el archivo en tu computadora. Esto se hace seleccionando el Archivo -&gt; Guardar como, o F12.
</t>
  </si>
  <si>
    <t>Paga tino: Prome bo sigui e file mester wordo warda riba bo computer. Esaki bo ta haci cu File -&gt; Warda como, of  cu F12.</t>
  </si>
  <si>
    <t>Introduction</t>
  </si>
  <si>
    <t>A financial plan is a very important part of the business plan, especially when you want to apply for a loan. The financial plan will give you a picture of the financial expectations of your future company. Click on the budgets below to view them.</t>
  </si>
  <si>
    <t xml:space="preserve">Elaborar un plan financiero es una parte importante de tu negocio, especialmente si deseas solicitar financiación. Un plan financiero completo deberá incluir al menos los siguientes presupuestos. Hacer clic en los presupuestos para verlos.
   </t>
  </si>
  <si>
    <t>Traha un plan financiero ta un parti importante di e plan di negoshi, sigur si bo kier aplica pa un fiansa. Un plan financiero completo ta existi di e presupuestonan akibou. Primi riba e presupuestonan pa habri nan.</t>
  </si>
  <si>
    <t xml:space="preserve">    Presupuesto de inversión</t>
  </si>
  <si>
    <t xml:space="preserve">    Presupuesto di Inversion</t>
  </si>
  <si>
    <t xml:space="preserve">    Presupuesto de financiación</t>
  </si>
  <si>
    <t xml:space="preserve">    Presupuesto di Financiamento</t>
  </si>
  <si>
    <t xml:space="preserve">    Presupuesto de funcionamiento</t>
  </si>
  <si>
    <t xml:space="preserve">    Impuesto di Operacion</t>
  </si>
  <si>
    <t xml:space="preserve">    Presupuesto de liquidez</t>
  </si>
  <si>
    <t xml:space="preserve">    Impuesto di likides</t>
  </si>
  <si>
    <t>How to make your financial plan?</t>
  </si>
  <si>
    <t>¿Como completarlo?</t>
  </si>
  <si>
    <t>Con pa yena nan?</t>
  </si>
  <si>
    <t>Este formato financiero te ayuda a crear estas previsiones.</t>
  </si>
  <si>
    <t>E formato financiero akí ta yuda bo formula e pronostico aki.</t>
  </si>
  <si>
    <t>La preparación de este plan financiero se hace respondiendo a las preguntas formuladas en  la hoja CUESTIONARIO.</t>
  </si>
  <si>
    <t>Bo ta traha e formulacion financiero aki dor di contesta e preguntanan cu bo ta haya riba e tab di e pagina CUESTIONARIO.</t>
  </si>
  <si>
    <t>For most questions you fill in an amount, for other questions you either put in a number or select an option from a pull-down menu.</t>
  </si>
  <si>
    <t>Con la mayoría de las preguntas hay que introducir una cantidad, en otras preguntas hay que seleccionar un número o elemento de una lista.</t>
  </si>
  <si>
    <t>Na mayoria pregunta bo mester yena un montante, na e otro preguntanan bo tin cu selecta un cifra o un parti di un lista.</t>
  </si>
  <si>
    <t>By answering the questions on this page corresponding fields on the other worksheets will be filled in automatically and a financial report will be generated.</t>
  </si>
  <si>
    <t>Al responder el cuestionario, los estados financieros se completan automáticamente y se calculan.</t>
  </si>
  <si>
    <t>Dor di yena e cuestionario, e resumennan financiero ta haci yena y calcula automaticamente.</t>
  </si>
  <si>
    <t>These financial statements can be found on the blue worksheets which cannot be filled in or altered manually. If you wish to make a change there, you will have to change the answer to the corresponding question in the questionnaire!</t>
  </si>
  <si>
    <t>Estas declaraciones se pueden encontrar en los separadores de color azul. Estos separadores no son para completar o cambiar. ¡Si deseas hacer un cambio se hace cambiando la respuesta a la pregunta en el cuestionario!</t>
  </si>
  <si>
    <t>E resumennan akí bo por haya riba e tab di paginanan blou. E tab di e paginanan akí no por yena ni cambia nan. Si bo kier haci cambio bo ta haci esaki dor di cambia e contesta riba e pregunta den e cuestionario!</t>
  </si>
  <si>
    <t>Imprimir</t>
  </si>
  <si>
    <t>PRINT</t>
  </si>
  <si>
    <t>Se puede imprimir todo el plan financiero en una sola vez seleccionando en la pantalla "imprimir" y seleccionando luego donde dice archivo completo.</t>
  </si>
  <si>
    <t>Bo por print e plan financiero completo den un solo bes ora bo selecta riba bo screen 'print' y selecta 'file di trabou completo'.</t>
  </si>
  <si>
    <t>Financing application</t>
  </si>
  <si>
    <t>Solicitud de financiamiento</t>
  </si>
  <si>
    <t>Aplicacion pa Financiamento</t>
  </si>
  <si>
    <t xml:space="preserve">Si vas elaborar este plan para una solicitud de financiación para Qredits,
puedes subir tu plan financiero junto con tu plan de negocio a través de: </t>
  </si>
  <si>
    <t>Den caso cu bo ta formula e plan aki pa un aplicacion pa un fiansa cerca Qredits, e ora bo por upload henter e plan financiero hunto cu bo plan di negoshi pa medio di:</t>
  </si>
  <si>
    <t xml:space="preserve">Disclaimer: Qredits ensures that the content of this module is regularly updated or supplemented. Nevertheless, Qredits is not responsible for any inaccuracies or omissions in the content thereof. Qredits is in no way liable for any damages resulting from the use of this module. The user is only allowed to save, print, and copy the module for personal use.  </t>
  </si>
  <si>
    <t xml:space="preserve">Exención de responsabilidad: Qredits asegura de actualizar periódicamente el contenido de este módulo y hacerle añadiduras. Sin embargo Qredits no se hace responsable por inexactitudes u omisiones en el contenido. Qredits de ninguna manera se hace responsable por los daños emanados del uso de este módulo. El usuario sólo se le permite guardar el módulo para su propio uso, impresión y copiado. </t>
  </si>
  <si>
    <t xml:space="preserve">Exension: Qredits ta percura pa regularmente actualisa contenido di e modulo aki o pa agrega informacion. Sinembargo Qredits no ta responsabel pa aspectonan incorecto o incompleto den e contenido ofreci. Qredits na ningun forma ta responsabel pa daño cu por surgi dor di uso di e modulo aki. E usuario ta permiti solamente pa warda, print y copia e modulo pa uso propio.  </t>
  </si>
  <si>
    <t>VRAGENLIJST</t>
  </si>
  <si>
    <t>Questionnaire</t>
  </si>
  <si>
    <t>Preguntas</t>
  </si>
  <si>
    <t>Lista di Pregunta</t>
  </si>
  <si>
    <t>Vragenlijst financieel plan</t>
  </si>
  <si>
    <t>Questionnaire financial plan</t>
  </si>
  <si>
    <t>Preguntas sobre el Plan Financiero</t>
  </si>
  <si>
    <t xml:space="preserve">Lista di Pregunta riba e Plan Financiero    </t>
  </si>
  <si>
    <t>Welke rechtsvorm heeft je bedrijf?</t>
  </si>
  <si>
    <t>What legal form does your company have?</t>
  </si>
  <si>
    <t>How many entrepreneurs are in the company?</t>
  </si>
  <si>
    <t>Antwoord:</t>
  </si>
  <si>
    <t>Answer:</t>
  </si>
  <si>
    <t>select:</t>
  </si>
  <si>
    <t>Wat is de winstverdeling?</t>
  </si>
  <si>
    <t>What is the distribution of profits?</t>
  </si>
  <si>
    <t>is berekend:</t>
  </si>
  <si>
    <t>Privé-inkomsten (maandelijks)</t>
  </si>
  <si>
    <t>Personal income (monthly)</t>
  </si>
  <si>
    <t>Privado: Ingresos (mensual)</t>
  </si>
  <si>
    <t>Priva: entrada (mensual)</t>
  </si>
  <si>
    <t>Hoeveel salaris (uit loondienstverband) krijg je maandelijks op je rekening gestort?</t>
  </si>
  <si>
    <t>How much salary (employment-related) is credited to your account every month?</t>
  </si>
  <si>
    <t>Cantidad de salario (aspecto laboral) que te depositan mensualmente en tu cuenta.</t>
  </si>
  <si>
    <t>Cuanto bo ta haya na salario (di pago mensual di trabou)deposita riba bo cuenta tur luna?</t>
  </si>
  <si>
    <t>Hoeveel van dat salaris ontvang je nog als je jouw bedrijf hebt opgestart?</t>
  </si>
  <si>
    <t>How much of this salary will you still receive once you've started your business?</t>
  </si>
  <si>
    <t>¿Cuanto de ese salario recibes aun despues de iniciar tu negocio?</t>
  </si>
  <si>
    <t>Cuanto di e salario aki bo ta ricibi ainda despues cu bo lanta bo negoshi?</t>
  </si>
  <si>
    <t>Si recibes una asignacion temporal,  ¿cuanto es mensualmente?</t>
  </si>
  <si>
    <t>Si bo ta ricibi un suma di pago (temporalmente), cuanto esaki ta pa luna?</t>
  </si>
  <si>
    <t>¿Cuan larga es la duración de este beneficio despues de empezar con tu negocio?</t>
  </si>
  <si>
    <t>Con largo bo ta sigui haya e pago aki despues cu bo a lanta bo negoshi?</t>
  </si>
  <si>
    <t>How high are the monthly tax allowances/deductibles (for childcare, social housing, healthcare, etc.)</t>
  </si>
  <si>
    <t>¿Tienes una pareja con ingreso (de sueldo o subsidio)?</t>
  </si>
  <si>
    <t>Bo tin un pareha cu tin un entrada (di sueldo o subsidio)?</t>
  </si>
  <si>
    <t>Total combined monthly income at this moment:</t>
  </si>
  <si>
    <t>Total ingreso conjunto en este momento</t>
  </si>
  <si>
    <t>Total entrada pa luna na e momentonan aki:</t>
  </si>
  <si>
    <t>Total combined monthly income once you've started up your business:</t>
  </si>
  <si>
    <t>Total ingreso mensual cuando tu negocio es iniciado</t>
  </si>
  <si>
    <t>Total  entrada pa luna hunto ora bo lanta bo negoshi:</t>
  </si>
  <si>
    <t>Privé-uitgaven (maandelijks)</t>
  </si>
  <si>
    <t>Personal expenses (monthly)</t>
  </si>
  <si>
    <t>Privado: egresos (mensual)</t>
  </si>
  <si>
    <t>Priva: gastonan (mensual)</t>
  </si>
  <si>
    <t>How much are your personal expenses every month?</t>
  </si>
  <si>
    <t>¿Cuanto gastas mensualmente privadamente?</t>
  </si>
  <si>
    <t>Kico bo gastonan personal ta?</t>
  </si>
  <si>
    <t>Huur woonhuis</t>
  </si>
  <si>
    <t>Rent for the residence</t>
  </si>
  <si>
    <t>Alquiler vivienda</t>
  </si>
  <si>
    <t>Huur cas</t>
  </si>
  <si>
    <t>Aflossing en rente hypotheek (netto)</t>
  </si>
  <si>
    <t>Repayment and interest on mortgage (net)</t>
  </si>
  <si>
    <t>Pago e interés (hipoteca)</t>
  </si>
  <si>
    <t>Pago di interes riba hipoteca (netto)</t>
  </si>
  <si>
    <t>Gas, water en elektriciteit</t>
  </si>
  <si>
    <t>Water, gas and electricity</t>
  </si>
  <si>
    <t>Gas, agua y electricidad</t>
  </si>
  <si>
    <t>Gas, awa y coriente</t>
  </si>
  <si>
    <t>Duurzame consumptiegoederen</t>
  </si>
  <si>
    <t>Consumer durables</t>
  </si>
  <si>
    <t>Bienes de consumo duraderos</t>
  </si>
  <si>
    <t>Mercancia di consumo duradero</t>
  </si>
  <si>
    <t>Ziektekostenverzekering</t>
  </si>
  <si>
    <t>Health insurance</t>
  </si>
  <si>
    <t>Seguro de salud</t>
  </si>
  <si>
    <t>AZV</t>
  </si>
  <si>
    <t>Other insurance (contents, liability etc.)</t>
  </si>
  <si>
    <t>Otros seguros (mobiliario, seguro de responsabilidad, etc)</t>
  </si>
  <si>
    <t>Demas seguro (mobilario, Responsabilidad Civil, etc)</t>
  </si>
  <si>
    <t>Transport (fuel, maintenance, season tickets)</t>
  </si>
  <si>
    <t>Transporte (gasolina, mantenimiento, suscripción)</t>
  </si>
  <si>
    <t>Transporte(gasolin, mantencion, abonnement)</t>
  </si>
  <si>
    <t>Household expenses (food / clothing / sports)</t>
  </si>
  <si>
    <t>Gastos de funcionamiento (alimentacion, ropa, deporte)</t>
  </si>
  <si>
    <t>Gastonan di cas (cuminda/vestuario/deporte)</t>
  </si>
  <si>
    <t>Vakantie en recreatie</t>
  </si>
  <si>
    <t>Holiday and recreation</t>
  </si>
  <si>
    <t>Vacaciones  y recreacion</t>
  </si>
  <si>
    <t>Vacansi y recreacion</t>
  </si>
  <si>
    <t>Opleiding, studiekosten en opvang kinderen</t>
  </si>
  <si>
    <t>Education, study costs and care of children</t>
  </si>
  <si>
    <t>Formación gastos de estudio, y atención niños</t>
  </si>
  <si>
    <t>Estudio, gastonan di scol y cuido traimerdia</t>
  </si>
  <si>
    <t>Repayment and interest on personal loan (no mortgage)</t>
  </si>
  <si>
    <t>Pago e interés préstamo personal (no hipoteca)</t>
  </si>
  <si>
    <t>Pago y interes fiansa personal (no hipoteca)</t>
  </si>
  <si>
    <t>Overige privé-uitgaven</t>
  </si>
  <si>
    <t>Other personal expenses</t>
  </si>
  <si>
    <t>Demás egresos privados</t>
  </si>
  <si>
    <t>Demas gasto personal</t>
  </si>
  <si>
    <t>Dit bedrag kan je maandelijks nog sparen voordat je met je bedrijf gaat starten:</t>
  </si>
  <si>
    <t>You can still save this amount each month before you start your business:</t>
  </si>
  <si>
    <t>Esta suma puedes aun ahorrar antes de empezar con tu negocio:</t>
  </si>
  <si>
    <t>E suma aki lo bo por spar prome bo lanta bo negoshi:</t>
  </si>
  <si>
    <t>This is the amount you will take out of your company each month once you've started:</t>
  </si>
  <si>
    <t>Esta suma tienes que sacar mensualmente de tu empresa, cuando hayas empezado:</t>
  </si>
  <si>
    <t>E suma aki bo mester saca tur luna di bo negoshi despues cu bo start:</t>
  </si>
  <si>
    <t>Privé: Eigen geld, bezittingen en schulden</t>
  </si>
  <si>
    <t>Private: Own money, assets and debts</t>
  </si>
  <si>
    <t>Privado: Dinero propio, propiedades y deudas</t>
  </si>
  <si>
    <t>Priva: capital propio, propiedad y debe</t>
  </si>
  <si>
    <t>Heb je een koopwoning?</t>
  </si>
  <si>
    <t>Do you own your house?</t>
  </si>
  <si>
    <t>¿Tienes una vivienda en alquiler?</t>
  </si>
  <si>
    <t>Bo a cumpra cas?</t>
  </si>
  <si>
    <t>What is the WOZ valuation of the house (for tax purposes)?</t>
  </si>
  <si>
    <t>¿Cual es el valor WOZ (tasacion bienes inmuebles) de tu vivienda?</t>
  </si>
  <si>
    <t>Kico ta e balor di mercado di bo cas?</t>
  </si>
  <si>
    <t>¿A cuanto asciende tu hipoteca?</t>
  </si>
  <si>
    <t>Cuanto bo hipoteca ta?</t>
  </si>
  <si>
    <t>Als je (naast je hypotheek) nog andere schulden hebt, hoe hoog zijn deze schulden?</t>
  </si>
  <si>
    <t>If you have any other debts (in addition to your mortgage), how much are these debts?</t>
  </si>
  <si>
    <t>¿Tienes mas deudas? ¿Que tan altas son estas deudas?</t>
  </si>
  <si>
    <t>Bo tin otro debe? Cuanto e debenan aki ta?</t>
  </si>
  <si>
    <t xml:space="preserve">Hoeveel spaargeld heb je op dit moment? </t>
  </si>
  <si>
    <t xml:space="preserve">How much do you currently have in savings? </t>
  </si>
  <si>
    <t>¿Cuanto dinero tienes ahorrado en este momento?</t>
  </si>
  <si>
    <t xml:space="preserve">Cuanto capital bo tin gespar actualmente? </t>
  </si>
  <si>
    <t>Welk bedrag heb je gespaard voor de start van jouw bedrijf?</t>
  </si>
  <si>
    <t>What amount will you have saved up before you start your business?</t>
  </si>
  <si>
    <t>¿Qué cantidad ahorraste para comenzar tu negocio?</t>
  </si>
  <si>
    <t>Cuanto bo a spar pa cuminsa cu bo negoshi nobo?</t>
  </si>
  <si>
    <t>Als je nog ander vermogen hebt, zoals aandelen of vastgoed, wat is de waarde hiervan?</t>
  </si>
  <si>
    <t>If you have any other assets, such as stocks or real estate, what is the value of these assets?</t>
  </si>
  <si>
    <t>¿Tienes otros activos, como acciones o bienes raices?</t>
  </si>
  <si>
    <t>Bo tin otro capital, manera accion (shares) of propiedad?</t>
  </si>
  <si>
    <t>Investeringen (voor langere periode)</t>
  </si>
  <si>
    <t>Investments (on the longer term)</t>
  </si>
  <si>
    <t>Inversiones (a largo plazo)</t>
  </si>
  <si>
    <t>Inversionnan (pa periodo mas largo)</t>
  </si>
  <si>
    <t xml:space="preserve">Wat heb je nodig om te kunnen starten met je bedrijf?  </t>
  </si>
  <si>
    <t xml:space="preserve">What do you need to start your company?  </t>
  </si>
  <si>
    <t>¿Que necesitas para poder empezar con tu negocio?</t>
  </si>
  <si>
    <t xml:space="preserve">Kico bo mester ainda pa lanta bo negoshi?  </t>
  </si>
  <si>
    <t>Aankoop onroerend goed</t>
  </si>
  <si>
    <t>Buying estate</t>
  </si>
  <si>
    <t>Verbouwing</t>
  </si>
  <si>
    <t>Renovation</t>
  </si>
  <si>
    <t>Construcción</t>
  </si>
  <si>
    <t>Drecha edificio</t>
  </si>
  <si>
    <t>Inventaris</t>
  </si>
  <si>
    <t>Inventory</t>
  </si>
  <si>
    <t>Inventario</t>
  </si>
  <si>
    <t>Maquinaria</t>
  </si>
  <si>
    <t>Mashin</t>
  </si>
  <si>
    <t>Computer en/of software</t>
  </si>
  <si>
    <t>Computer and/or software</t>
  </si>
  <si>
    <t>Computadora y/o software</t>
  </si>
  <si>
    <t>Computer y/of software</t>
  </si>
  <si>
    <t>Transportmiddel</t>
  </si>
  <si>
    <t>Medio de transporte</t>
  </si>
  <si>
    <t>Medio di transporte</t>
  </si>
  <si>
    <t>Startvoorraad product 1</t>
  </si>
  <si>
    <t>Start-up stock product 1</t>
  </si>
  <si>
    <t>Stock para empezar</t>
  </si>
  <si>
    <t>Stock pa start cu ne</t>
  </si>
  <si>
    <t>Startvoorraad product 2</t>
  </si>
  <si>
    <t>Start-up stock product 2</t>
  </si>
  <si>
    <t>Huurgarantie</t>
  </si>
  <si>
    <t>Rental guarantee</t>
  </si>
  <si>
    <t>Garantía de alquiler</t>
  </si>
  <si>
    <t>Borg pa huur</t>
  </si>
  <si>
    <t>Franchisefee</t>
  </si>
  <si>
    <t>Franchise fee</t>
  </si>
  <si>
    <t>Cuota de franquicia</t>
  </si>
  <si>
    <t>Pago di Franchise</t>
  </si>
  <si>
    <t>Goodwill</t>
  </si>
  <si>
    <t>Activo intangible</t>
  </si>
  <si>
    <t>Promotiekosten</t>
  </si>
  <si>
    <t>Gastos de promocion</t>
  </si>
  <si>
    <t>Gastonan di Promocion</t>
  </si>
  <si>
    <t>BTW on purchasing / costs</t>
  </si>
  <si>
    <t>BTW relacionado con inversiones</t>
  </si>
  <si>
    <t>BTW riba inversion</t>
  </si>
  <si>
    <t>Overbrugging, aanloopkosten en overig/onvoorzien</t>
  </si>
  <si>
    <t>Other / unforeseen</t>
  </si>
  <si>
    <t>Costos adquisicion, costos puesto en marcha, imprevisto</t>
  </si>
  <si>
    <t>Provision, gastonan inicial y demas gasto/imprevisto</t>
  </si>
  <si>
    <t>Financieringen</t>
  </si>
  <si>
    <t>Financing</t>
  </si>
  <si>
    <t>Financiamientos</t>
  </si>
  <si>
    <t>Financiamento</t>
  </si>
  <si>
    <t>Hoeveel (spaar)geld ga je zelf inbrengen?</t>
  </si>
  <si>
    <t>How much of your own money (savings) will you invest?</t>
  </si>
  <si>
    <t>¿Cuanto dinero (ahorrado) aportaras tu mismo?</t>
  </si>
  <si>
    <t>Ki capital (gespar) bo mes ta bay hinca aden?</t>
  </si>
  <si>
    <t>How much money have you borrowed and/or will you borrow from family/friends?</t>
  </si>
  <si>
    <t>¿Cuanto dinero has prestado y/o vas a pedir prestado a familia/amigos?</t>
  </si>
  <si>
    <t>Cuanto placa bo a fia y/o ta bay fia cerca famia/conocinan?</t>
  </si>
  <si>
    <t>Cuando dinero llega a traves de otras fuentes de financiamiento</t>
  </si>
  <si>
    <t xml:space="preserve">Cuanto placa ta bin aden pa medio di otro fuentenan financiero? </t>
  </si>
  <si>
    <t>Maandelijkse indirecte kosten</t>
  </si>
  <si>
    <t>Monthly indirect costs</t>
  </si>
  <si>
    <t>Gastos indirectos mensuales</t>
  </si>
  <si>
    <t>Gastonan mensual indirecto</t>
  </si>
  <si>
    <t>Hoe hoog zijn de maandelijkse kosten?</t>
  </si>
  <si>
    <t>What is the extent of the monthly costs?</t>
  </si>
  <si>
    <t>¿Cuan altos son los gastos mensuales?</t>
  </si>
  <si>
    <t>Cuanto bo gastonan mensual ta?</t>
  </si>
  <si>
    <t>Personeel (let op: bruto personeelslasten, dus inclusief premies en belastingen)</t>
  </si>
  <si>
    <t>Personnel (please note: gross personnel costs, meaning including premiums and taxes)</t>
  </si>
  <si>
    <t>Personal (nota: los gastos brutos de personal, incluyendo tanto las contribuciones e impuestos)</t>
  </si>
  <si>
    <t>Personal (paga tino: gastonan bruto di personal, incluso primanan y impuesto)</t>
  </si>
  <si>
    <t>Huisvesting (huur, schoonmaak, onderhoud)</t>
  </si>
  <si>
    <t>Accommodation (rent, cleaning, maintenance)</t>
  </si>
  <si>
    <t>Vivienda, (alquiler, limpieza, mantenimiento)</t>
  </si>
  <si>
    <t>Vivienda (huur, limpiesa, mantencion)</t>
  </si>
  <si>
    <t>Vervoer/verblijf (brandstof, onderhoud, parkeren, verzekeringen)</t>
  </si>
  <si>
    <t>Transport/accommodation (fuel, maintenance, parking, insurance)</t>
  </si>
  <si>
    <t>Transporte/estadia (combustible, mantenimiento, estacionamiento, seguro)</t>
  </si>
  <si>
    <t>Transportacion/parking (combustibel, mantencion, staciona, seguro)</t>
  </si>
  <si>
    <t>Promocion/publicidad (mantenimiento del sitio web, nombre de dominio, google adwords</t>
  </si>
  <si>
    <t>Promocion/propaganda (mantencion website, nomber di dominio, google adwords)</t>
  </si>
  <si>
    <t>Overige bedrijfskosten:</t>
  </si>
  <si>
    <t>Other operating costs:</t>
  </si>
  <si>
    <t>Demas gastos empresariales:</t>
  </si>
  <si>
    <t>Demas gastonan empresarial:</t>
  </si>
  <si>
    <t xml:space="preserve">  - Seguros (responsabilidad, discapacidad, mobiliario)</t>
  </si>
  <si>
    <t xml:space="preserve">  - Seguro (responsabilidad, medico / SVB, contenido)</t>
  </si>
  <si>
    <t xml:space="preserve">  - Gastos de administración, (contador, consultor, software de contabilidad)</t>
  </si>
  <si>
    <t xml:space="preserve">  - Gastonan administrativo (accountant, consehero, pakete di contabilidad)</t>
  </si>
  <si>
    <t xml:space="preserve">  - Suscripciones  (telefono, internet, publicaciones comerciales, asociaciones comerciales, Camara de Comercio, contable, consultor</t>
  </si>
  <si>
    <t xml:space="preserve">  - Abonnement (telefon, internet, revistanan profesional, asociacion ramo di negoshi, CdC, accountant, consehero)</t>
  </si>
  <si>
    <t xml:space="preserve">  - Útiles de oficina, (papel de carta, cartuchos, estampillas)</t>
  </si>
  <si>
    <t xml:space="preserve">  - Articulonan pa Oficina (papel (pa carta-, ink pa printer, stampia)</t>
  </si>
  <si>
    <t xml:space="preserve">  - Demás</t>
  </si>
  <si>
    <t xml:space="preserve">  - Demas</t>
  </si>
  <si>
    <t>Maandelijkse directe kosten</t>
  </si>
  <si>
    <t>Monthly direct costs</t>
  </si>
  <si>
    <t>Gastos mensuales director</t>
  </si>
  <si>
    <t>Gastonan mensual directo</t>
  </si>
  <si>
    <t>Koop je producten in die je, eventueel na bewerking, weer verkoopt?</t>
  </si>
  <si>
    <t>Do you purchase products which you resell, possibly after processing?</t>
  </si>
  <si>
    <t>¿Compras productos para venderlos despues de una posible elaboracion?</t>
  </si>
  <si>
    <t>Cumpra bo productonan, cu eventualmente despues di procesa, bo ta bolbe bende?</t>
  </si>
  <si>
    <t>Inkomsten</t>
  </si>
  <si>
    <t>Income</t>
  </si>
  <si>
    <t>Ingresos</t>
  </si>
  <si>
    <t>Entrada</t>
  </si>
  <si>
    <t>What BTW rate applies to the sales price?</t>
  </si>
  <si>
    <t>¿Cual tipo de BTW se aplica al precio de venta?</t>
  </si>
  <si>
    <t>Cua tarifa di BTW ta aplicabel riba e prijs di benta?</t>
  </si>
  <si>
    <t>Wanneer betalen je klanten in het algemeen?</t>
  </si>
  <si>
    <t>In general, when do customers pay you?</t>
  </si>
  <si>
    <t>¿Cuando pagan tus clientes por lo general?</t>
  </si>
  <si>
    <t>Con (ki tempo) bo clientenan ta paga normalmente?</t>
  </si>
  <si>
    <t>Omzetprognose</t>
  </si>
  <si>
    <t>Sales forecast</t>
  </si>
  <si>
    <t>Prevision de ventas</t>
  </si>
  <si>
    <t>Prognosis di Ingreso</t>
  </si>
  <si>
    <t>¿Que cantidad de ingreso esperas lograr cada mes?</t>
  </si>
  <si>
    <t>Cuanto volumen di benta bo ta spera di realisa tur luna?</t>
  </si>
  <si>
    <t>Month 1</t>
  </si>
  <si>
    <t>Mes 1</t>
  </si>
  <si>
    <t>Luna 1</t>
  </si>
  <si>
    <t>Month 2</t>
  </si>
  <si>
    <t>Mes 2</t>
  </si>
  <si>
    <t>Luna 2</t>
  </si>
  <si>
    <t>Month 3</t>
  </si>
  <si>
    <t>Mes 3</t>
  </si>
  <si>
    <t>Luna 3</t>
  </si>
  <si>
    <t>Month 4</t>
  </si>
  <si>
    <t>Mes 4</t>
  </si>
  <si>
    <t>Luna 4</t>
  </si>
  <si>
    <t>Month 5</t>
  </si>
  <si>
    <t>Mes 5</t>
  </si>
  <si>
    <t>Luna 5</t>
  </si>
  <si>
    <t>Month 6</t>
  </si>
  <si>
    <t>Mes 6</t>
  </si>
  <si>
    <t>Luna 6</t>
  </si>
  <si>
    <t>Month 7</t>
  </si>
  <si>
    <t>Mes 7</t>
  </si>
  <si>
    <t>Luna 7</t>
  </si>
  <si>
    <t>Month 8</t>
  </si>
  <si>
    <t>Mes 8</t>
  </si>
  <si>
    <t>Luna 8</t>
  </si>
  <si>
    <t>Month 9</t>
  </si>
  <si>
    <t>Mes 9</t>
  </si>
  <si>
    <t>Luna 9</t>
  </si>
  <si>
    <t>Month 10</t>
  </si>
  <si>
    <t>Mes 10</t>
  </si>
  <si>
    <t>Luna 10</t>
  </si>
  <si>
    <t>Month 11</t>
  </si>
  <si>
    <t>Mes 11</t>
  </si>
  <si>
    <t>Luna 11</t>
  </si>
  <si>
    <t>Month 12</t>
  </si>
  <si>
    <t>Mes 12</t>
  </si>
  <si>
    <t>Luna 12</t>
  </si>
  <si>
    <t>Mag je ter vermindering van je belastbaar inkomen de onderstaande aftrekposten opvoeren?</t>
  </si>
  <si>
    <t>Are you able to claim the following deductions from your taxable income?</t>
  </si>
  <si>
    <t>Zelfstandigenaftrek</t>
  </si>
  <si>
    <t>MKB-Winstvrijstelling</t>
  </si>
  <si>
    <t>Investeringsaftrek</t>
  </si>
  <si>
    <t>Oudedagsreserve</t>
  </si>
  <si>
    <t>Algemene heffingskorting</t>
  </si>
  <si>
    <t>Arbeidskorting</t>
  </si>
  <si>
    <t>selecteer:</t>
  </si>
  <si>
    <t>selecta:</t>
  </si>
  <si>
    <t>llenar suma:</t>
  </si>
  <si>
    <t>yena e suma:</t>
  </si>
  <si>
    <t>se calcula:</t>
  </si>
  <si>
    <t>calcula:</t>
  </si>
  <si>
    <t>Investering &amp; Financiering</t>
  </si>
  <si>
    <t>Investment and Financing</t>
  </si>
  <si>
    <t>Inversión y financiación</t>
  </si>
  <si>
    <t>Inversion y Financiamento</t>
  </si>
  <si>
    <t xml:space="preserve">Investerings- &amp; Financieringsbegroting </t>
  </si>
  <si>
    <t xml:space="preserve">Investment and Financing budget </t>
  </si>
  <si>
    <t>Presupuesto de inversión y financiación</t>
  </si>
  <si>
    <t>Presupuesto di Inversion y Financiamento</t>
  </si>
  <si>
    <t>Fixed assets (excluding BTW)</t>
  </si>
  <si>
    <t>Activos fijos (sin BTW)</t>
  </si>
  <si>
    <t>Activa Fiho (excl. BTW)</t>
  </si>
  <si>
    <t xml:space="preserve">Verbouwing </t>
  </si>
  <si>
    <t xml:space="preserve">Renovation </t>
  </si>
  <si>
    <t>Reconstrucción</t>
  </si>
  <si>
    <t>Reconstruccion</t>
  </si>
  <si>
    <t>Inventaris en inrichting</t>
  </si>
  <si>
    <t>Inventory and fixtures</t>
  </si>
  <si>
    <t>Muebles y accesorios</t>
  </si>
  <si>
    <t>Inventario y mobilario</t>
  </si>
  <si>
    <t>Computer en software</t>
  </si>
  <si>
    <t>Computer and software</t>
  </si>
  <si>
    <t>Computadoras y software</t>
  </si>
  <si>
    <t>Computer y software</t>
  </si>
  <si>
    <t>Medio di transportacion</t>
  </si>
  <si>
    <t>Goodwill/Franchisefee/Huurgarantie</t>
  </si>
  <si>
    <t>Goodwill / Franchise Fee / Rental Guarantee</t>
  </si>
  <si>
    <t>Fondo comercial, monto franquicia, garantia alquiler</t>
  </si>
  <si>
    <t>Goodwill/Fondo di Franchise/Borg di huur</t>
  </si>
  <si>
    <t>Current assets (excluding BTW)</t>
  </si>
  <si>
    <t>Activos corrientes, (sin BTW)</t>
  </si>
  <si>
    <t>Startvoorraad</t>
  </si>
  <si>
    <t>Start-up stock</t>
  </si>
  <si>
    <t>Stock de arranque</t>
  </si>
  <si>
    <t>Stock inicial</t>
  </si>
  <si>
    <t>Promotion and start-up costs</t>
  </si>
  <si>
    <t>Promoción, gastos iniciales</t>
  </si>
  <si>
    <t>Promocion-, gastonan inicial</t>
  </si>
  <si>
    <t>Kas (reserve)</t>
  </si>
  <si>
    <t>Cash (reserve)</t>
  </si>
  <si>
    <t>Reserva de efectivo</t>
  </si>
  <si>
    <t>Caha (reserva)</t>
  </si>
  <si>
    <t>Totaal investeringsbedrag</t>
  </si>
  <si>
    <t>Total investment amount</t>
  </si>
  <si>
    <t>Monto total de inversion</t>
  </si>
  <si>
    <t>Total suma di inversion</t>
  </si>
  <si>
    <t>In bezit</t>
  </si>
  <si>
    <t>Owned</t>
  </si>
  <si>
    <t>En posesion</t>
  </si>
  <si>
    <t>Ya Presente</t>
  </si>
  <si>
    <t>Investeren</t>
  </si>
  <si>
    <t>To be invested</t>
  </si>
  <si>
    <t>Invertir</t>
  </si>
  <si>
    <t>Inversion</t>
  </si>
  <si>
    <t>Total</t>
  </si>
  <si>
    <t>Eigen inbreng</t>
  </si>
  <si>
    <t>Own contribution</t>
  </si>
  <si>
    <t>Aporte propio</t>
  </si>
  <si>
    <t>Capital propio</t>
  </si>
  <si>
    <t>Activa in bezit</t>
  </si>
  <si>
    <t>Assets held</t>
  </si>
  <si>
    <t>Activos en posesión</t>
  </si>
  <si>
    <t>Activa den posesion</t>
  </si>
  <si>
    <t>Cash contribution (e.g. savings)</t>
  </si>
  <si>
    <t>Aporte en efectivo (p.e. ahorros)</t>
  </si>
  <si>
    <t>Aporte cash (pe. Placa gespar)</t>
  </si>
  <si>
    <t>Subordinated loans (family / friends)</t>
  </si>
  <si>
    <t>Préstamos subordinados, familia/amigos</t>
  </si>
  <si>
    <t>Fiansa subordina (famia/amigo)</t>
  </si>
  <si>
    <t>Totaal eigen vermogen</t>
  </si>
  <si>
    <t>Total equity</t>
  </si>
  <si>
    <t>Patrimonio total</t>
  </si>
  <si>
    <t>Total capital propio</t>
  </si>
  <si>
    <t>Financiering</t>
  </si>
  <si>
    <t>Financiamiento</t>
  </si>
  <si>
    <t>Financiering overig</t>
  </si>
  <si>
    <t>Other funding</t>
  </si>
  <si>
    <t>Demás financiamiento</t>
  </si>
  <si>
    <t xml:space="preserve">Demas financiamento </t>
  </si>
  <si>
    <t>Financiering kredietverstrekker</t>
  </si>
  <si>
    <t>Financing by lender</t>
  </si>
  <si>
    <t>Financiación prestamista</t>
  </si>
  <si>
    <t>Financiamento creditor</t>
  </si>
  <si>
    <t>Totaal vreemd vermogen</t>
  </si>
  <si>
    <t>Total loan capital</t>
  </si>
  <si>
    <t>La deuda total</t>
  </si>
  <si>
    <t>Total capital di fiansa</t>
  </si>
  <si>
    <t>Lening Qredits</t>
  </si>
  <si>
    <t>Loan Qredits</t>
  </si>
  <si>
    <t>Préstamos Qredits</t>
  </si>
  <si>
    <t>Fiansa di Qredits</t>
  </si>
  <si>
    <t>Enter the number of years in which you would like to repay the loan</t>
  </si>
  <si>
    <t>Anota en cuantos años quieres pagar el prestamo:</t>
  </si>
  <si>
    <t>Yena den cuanto aña bo kier paga e fiansa bek:</t>
  </si>
  <si>
    <t>Enter after how many months you would like to start paying off the loan</t>
  </si>
  <si>
    <t>Anota en cuantos meses quieres empezar a pagar:</t>
  </si>
  <si>
    <t>Yena despues di cuanto luna bo kier cuminsa paga riba e fiansa?</t>
  </si>
  <si>
    <t>Choose the amortization profile:</t>
  </si>
  <si>
    <t>Select:</t>
  </si>
  <si>
    <t>Selecciona:</t>
  </si>
  <si>
    <t xml:space="preserve">  jaren</t>
  </si>
  <si>
    <t xml:space="preserve">  years</t>
  </si>
  <si>
    <t xml:space="preserve">  años</t>
  </si>
  <si>
    <t xml:space="preserve">  aña</t>
  </si>
  <si>
    <t xml:space="preserve">  maanden</t>
  </si>
  <si>
    <t xml:space="preserve">  months</t>
  </si>
  <si>
    <t xml:space="preserve">  meses</t>
  </si>
  <si>
    <t xml:space="preserve">  luna</t>
  </si>
  <si>
    <t>Voorwaarden (indicatie)</t>
  </si>
  <si>
    <t>Conditions (indication)</t>
  </si>
  <si>
    <t>Condiciones (indicacion)</t>
  </si>
  <si>
    <t>Condicionnan (indicacion)</t>
  </si>
  <si>
    <t>Rentepercentage²</t>
  </si>
  <si>
    <t>Interest rate²</t>
  </si>
  <si>
    <t>Tasa de interés²</t>
  </si>
  <si>
    <t>Porcentahedi Interes²</t>
  </si>
  <si>
    <t>Behandelkosten</t>
  </si>
  <si>
    <t>Formalisation fee</t>
  </si>
  <si>
    <t>Gastos de cierre</t>
  </si>
  <si>
    <t>Gasto di contract</t>
  </si>
  <si>
    <t>Effectieve rente²</t>
  </si>
  <si>
    <t>Effective interest rate²</t>
  </si>
  <si>
    <t>Interés efectivo²</t>
  </si>
  <si>
    <t>Interes efectivo²</t>
  </si>
  <si>
    <t>Maandlasten³</t>
  </si>
  <si>
    <t>Monthly costs³</t>
  </si>
  <si>
    <t>Monto a pagar mensualmente³</t>
  </si>
  <si>
    <t>Suma pa paga pa luna³</t>
  </si>
  <si>
    <t>Bedrag annuïteit</t>
  </si>
  <si>
    <t>Redemption and interest amount per month</t>
  </si>
  <si>
    <t>Monto a pagar mensualmente</t>
  </si>
  <si>
    <t>Suma pa paga pa luna</t>
  </si>
  <si>
    <t>² Onder voorbehoud van wijzigingen, kijk voor meer informatie op www.qredits.nl</t>
  </si>
  <si>
    <t>² Subject to change, for more information, visit www.qredits.nl</t>
  </si>
  <si>
    <t>² Sujeto a cambios, para mas informacion, ir a www.qredits.nl</t>
  </si>
  <si>
    <t>² Cu reserva di cambio, pa mas informacion bay riba www.qredits.nl</t>
  </si>
  <si>
    <t>³ Specificatie in 'Qredits maandlasten'</t>
  </si>
  <si>
    <t>³ Specification in 'Qredits monthly costs’</t>
  </si>
  <si>
    <t>³ Especificacion en  'mensualidades Qredits'</t>
  </si>
  <si>
    <t>³ Specificacion den 'Gastonan mensual Qredits'</t>
  </si>
  <si>
    <t>Frequently asked questions!?</t>
  </si>
  <si>
    <t>¿Que es esto?</t>
  </si>
  <si>
    <t>kico esaki ta?</t>
  </si>
  <si>
    <t>Click here to return to the tab page Introduction</t>
  </si>
  <si>
    <t>Clic aqui para llenar cuestionario</t>
  </si>
  <si>
    <t>Liquiditeit</t>
  </si>
  <si>
    <t>Liquid Asset</t>
  </si>
  <si>
    <t>Liquidez</t>
  </si>
  <si>
    <t>Likides</t>
  </si>
  <si>
    <t>Liquiditeitsbegroting</t>
  </si>
  <si>
    <t>Cash flow budget</t>
  </si>
  <si>
    <t>Presupuesto de Liquidez</t>
  </si>
  <si>
    <t>Impuesto di Likides</t>
  </si>
  <si>
    <t>Maand</t>
  </si>
  <si>
    <t>Month</t>
  </si>
  <si>
    <t>Mes</t>
  </si>
  <si>
    <t>Luna</t>
  </si>
  <si>
    <t>Opening kas/bank</t>
  </si>
  <si>
    <t>Opening cash / bank</t>
  </si>
  <si>
    <t>Apertura caja/banco</t>
  </si>
  <si>
    <t>Habri caha/ banco</t>
  </si>
  <si>
    <t>Ontvangsten</t>
  </si>
  <si>
    <t>Revenue</t>
  </si>
  <si>
    <t xml:space="preserve"> Lening Qredits</t>
  </si>
  <si>
    <t xml:space="preserve"> Loan Qredits</t>
  </si>
  <si>
    <t>Préstamo Qredits</t>
  </si>
  <si>
    <t xml:space="preserve"> Fiansa di Qredits</t>
  </si>
  <si>
    <t>Propio aporte en efectivo</t>
  </si>
  <si>
    <t xml:space="preserve"> Propio fondo den efectivo</t>
  </si>
  <si>
    <t>Demás prestamo(s)</t>
  </si>
  <si>
    <t xml:space="preserve"> Otro fiansa(nan)</t>
  </si>
  <si>
    <t xml:space="preserve"> Turnover product 1, excluding BTW</t>
  </si>
  <si>
    <t xml:space="preserve"> Ventas excl. BTW</t>
  </si>
  <si>
    <t xml:space="preserve"> Benta sin BTW</t>
  </si>
  <si>
    <t xml:space="preserve"> Turnover product 2, excluding BTW</t>
  </si>
  <si>
    <t xml:space="preserve"> BTW</t>
  </si>
  <si>
    <t>BTW</t>
  </si>
  <si>
    <t xml:space="preserve"> Turnover, including BTW</t>
  </si>
  <si>
    <t xml:space="preserve"> Ventas incl. BTW</t>
  </si>
  <si>
    <t xml:space="preserve"> Benta incl. BTW</t>
  </si>
  <si>
    <t>Totale ontvangsten</t>
  </si>
  <si>
    <t>Total revenue</t>
  </si>
  <si>
    <t>Total ingresos</t>
  </si>
  <si>
    <t>Entrada total</t>
  </si>
  <si>
    <t>Uitgaven</t>
  </si>
  <si>
    <t>Expenses</t>
  </si>
  <si>
    <t>Egresos</t>
  </si>
  <si>
    <t>Gasto</t>
  </si>
  <si>
    <t xml:space="preserve"> Investering</t>
  </si>
  <si>
    <t xml:space="preserve"> Investment</t>
  </si>
  <si>
    <t xml:space="preserve"> Inversión</t>
  </si>
  <si>
    <t xml:space="preserve"> Inversion</t>
  </si>
  <si>
    <t xml:space="preserve"> Inkoop product 1</t>
  </si>
  <si>
    <t xml:space="preserve"> Purchasing product 1</t>
  </si>
  <si>
    <t xml:space="preserve"> Compras</t>
  </si>
  <si>
    <t xml:space="preserve"> Inkoop product 2</t>
  </si>
  <si>
    <t xml:space="preserve"> Purchasing product 2</t>
  </si>
  <si>
    <t xml:space="preserve"> BTW Purchasing</t>
  </si>
  <si>
    <t xml:space="preserve"> Personeelskosten</t>
  </si>
  <si>
    <t xml:space="preserve"> Personnel costs</t>
  </si>
  <si>
    <t xml:space="preserve"> Gastos de personal</t>
  </si>
  <si>
    <t xml:space="preserve"> Gastonan di Personal</t>
  </si>
  <si>
    <t xml:space="preserve"> Huisvestingskosten</t>
  </si>
  <si>
    <t xml:space="preserve"> Accommodation costs</t>
  </si>
  <si>
    <t xml:space="preserve"> Gastos de vivienda</t>
  </si>
  <si>
    <t xml:space="preserve"> Gastonan di vivienda</t>
  </si>
  <si>
    <t xml:space="preserve"> Transportation / transport costs</t>
  </si>
  <si>
    <t xml:space="preserve"> Transporte/gastos transporte</t>
  </si>
  <si>
    <t xml:space="preserve"> Transportacion/gastonan di transportacion</t>
  </si>
  <si>
    <t xml:space="preserve"> Promotiekosten</t>
  </si>
  <si>
    <t xml:space="preserve"> Promotion costs</t>
  </si>
  <si>
    <t xml:space="preserve"> Gastos promoción</t>
  </si>
  <si>
    <t xml:space="preserve"> Gastonan di promocion</t>
  </si>
  <si>
    <t xml:space="preserve"> Overige bedrijfskosten</t>
  </si>
  <si>
    <t xml:space="preserve"> Other operating costs</t>
  </si>
  <si>
    <t xml:space="preserve"> Demás gastos empresariales</t>
  </si>
  <si>
    <t xml:space="preserve"> Demas costo di operacion</t>
  </si>
  <si>
    <t xml:space="preserve"> BTW on investments / costs</t>
  </si>
  <si>
    <t xml:space="preserve"> Compras/gastos BTW</t>
  </si>
  <si>
    <t xml:space="preserve"> BTW compra/costo</t>
  </si>
  <si>
    <t xml:space="preserve"> BTW payment</t>
  </si>
  <si>
    <t xml:space="preserve"> Pago del BTW</t>
  </si>
  <si>
    <t xml:space="preserve"> Pago BTW</t>
  </si>
  <si>
    <t xml:space="preserve"> Rente (excl. Qredits)</t>
  </si>
  <si>
    <t xml:space="preserve"> Interest (excluding Qredits)</t>
  </si>
  <si>
    <t xml:space="preserve"> Interés (excl Qredits)</t>
  </si>
  <si>
    <t xml:space="preserve"> Interes (excl. Qredits)</t>
  </si>
  <si>
    <t xml:space="preserve"> Aflossing (excl. Qredits)</t>
  </si>
  <si>
    <t xml:space="preserve"> Redemption (excluding Qredits)</t>
  </si>
  <si>
    <t xml:space="preserve"> Pago (excl Qredits)</t>
  </si>
  <si>
    <t xml:space="preserve"> Pagonan di cota (excl. Qredits)</t>
  </si>
  <si>
    <t xml:space="preserve"> Rente Qredits</t>
  </si>
  <si>
    <t xml:space="preserve"> Interest Qredits</t>
  </si>
  <si>
    <t xml:space="preserve"> Interés Qredits</t>
  </si>
  <si>
    <t xml:space="preserve"> Interes Qredits</t>
  </si>
  <si>
    <t xml:space="preserve"> Redemption Qredits</t>
  </si>
  <si>
    <t xml:space="preserve"> Pagos Qredits</t>
  </si>
  <si>
    <t xml:space="preserve"> Pagonan di Cota Qredits</t>
  </si>
  <si>
    <t xml:space="preserve"> Pago Impuesto riba entrada</t>
  </si>
  <si>
    <t>Totale uitgaven</t>
  </si>
  <si>
    <t>Total expenses</t>
  </si>
  <si>
    <t>Total egresos</t>
  </si>
  <si>
    <t>Gastonan Total</t>
  </si>
  <si>
    <t>Kas per maand</t>
  </si>
  <si>
    <t>Cash per month</t>
  </si>
  <si>
    <t>Caja mensual</t>
  </si>
  <si>
    <t>Caha pa luna</t>
  </si>
  <si>
    <t>Eindsaldo</t>
  </si>
  <si>
    <t>Closing balance</t>
  </si>
  <si>
    <t>Saldo final</t>
  </si>
  <si>
    <t>Exploitatie</t>
  </si>
  <si>
    <t>Operating</t>
  </si>
  <si>
    <t>Funcionamiento</t>
  </si>
  <si>
    <t>Operacion</t>
  </si>
  <si>
    <t>Exploitatiebegroting</t>
  </si>
  <si>
    <t>Operating budget</t>
  </si>
  <si>
    <t>Presupuesto de Funcionamiento</t>
  </si>
  <si>
    <t>Presupuesto di Operacion</t>
  </si>
  <si>
    <t xml:space="preserve">Exploitatiebegroting </t>
  </si>
  <si>
    <t xml:space="preserve">Operating budget </t>
  </si>
  <si>
    <t>Presupuesto de funcionamiento</t>
  </si>
  <si>
    <t>Net turnover product 1</t>
  </si>
  <si>
    <t>Venta netas</t>
  </si>
  <si>
    <t>Benta Netto</t>
  </si>
  <si>
    <t>Inkoopwaarde</t>
  </si>
  <si>
    <t>Purchase value</t>
  </si>
  <si>
    <t>Valor de compra</t>
  </si>
  <si>
    <t>Balor di compra</t>
  </si>
  <si>
    <t>Gross profits</t>
  </si>
  <si>
    <t>Beneficio bruto</t>
  </si>
  <si>
    <t>Ganashi Bruto</t>
  </si>
  <si>
    <t>Brutowinstmarge</t>
  </si>
  <si>
    <t>Gross profit margin</t>
  </si>
  <si>
    <t>Margen de beneficio bruto</t>
  </si>
  <si>
    <t>Margen Ganashi Bruto</t>
  </si>
  <si>
    <t>Net turnover product 2</t>
  </si>
  <si>
    <t>Totaal omzet</t>
  </si>
  <si>
    <t>Net turnover total</t>
  </si>
  <si>
    <t>Purchase value total</t>
  </si>
  <si>
    <t>Gross profits total</t>
  </si>
  <si>
    <t>Personeelskosten</t>
  </si>
  <si>
    <t>Personnel costs</t>
  </si>
  <si>
    <t>Gastos de personal</t>
  </si>
  <si>
    <t>Gastonan di personal</t>
  </si>
  <si>
    <t>Huisvestingskosten</t>
  </si>
  <si>
    <t>Accommodation costs</t>
  </si>
  <si>
    <t>Gastos de alquiler</t>
  </si>
  <si>
    <t>Gastonan di vivienda</t>
  </si>
  <si>
    <t>Transportation / transport costs</t>
  </si>
  <si>
    <t>Transporte/gastos transporte</t>
  </si>
  <si>
    <t>Transportacion/ gastonan di transporte</t>
  </si>
  <si>
    <t>Promotion costs</t>
  </si>
  <si>
    <t>Gastos de promoción</t>
  </si>
  <si>
    <t>Costonan di Promocion</t>
  </si>
  <si>
    <t xml:space="preserve">Overige bedrijfskosten </t>
  </si>
  <si>
    <t xml:space="preserve">Other operating costs </t>
  </si>
  <si>
    <t>Demás gastos empresariales</t>
  </si>
  <si>
    <t xml:space="preserve">Demas costanan empresarial </t>
  </si>
  <si>
    <t>Depreciation</t>
  </si>
  <si>
    <t>Dado de baja</t>
  </si>
  <si>
    <t>Devaluacion</t>
  </si>
  <si>
    <t>Total operating costs</t>
  </si>
  <si>
    <t>Total Gastos Empresariales</t>
  </si>
  <si>
    <t>Total Gastonan empresarial</t>
  </si>
  <si>
    <t>Rente Qredits</t>
  </si>
  <si>
    <t>Interest Qredits</t>
  </si>
  <si>
    <t>Interes Qredits</t>
  </si>
  <si>
    <t>Overige rentelasten</t>
  </si>
  <si>
    <t>Other interest charges</t>
  </si>
  <si>
    <t>Otros gastos financieros</t>
  </si>
  <si>
    <t>Demas gasto pa interes</t>
  </si>
  <si>
    <t>Winst uit onderneming</t>
  </si>
  <si>
    <t>Pre tax profit</t>
  </si>
  <si>
    <t>Ganancias de empresa</t>
  </si>
  <si>
    <t>Ganashi di empresa</t>
  </si>
  <si>
    <t>Winstdeel</t>
  </si>
  <si>
    <t>Profit share</t>
  </si>
  <si>
    <t>Aftrekposten</t>
  </si>
  <si>
    <t>Tax deduction</t>
  </si>
  <si>
    <t>Renta gravable</t>
  </si>
  <si>
    <t xml:space="preserve">Entrada Netto </t>
  </si>
  <si>
    <t>Belastbaar inkomen</t>
  </si>
  <si>
    <t>Taxable income</t>
  </si>
  <si>
    <t>Selecciona tariefgroep:</t>
  </si>
  <si>
    <t>Selecta tariefgroep:</t>
  </si>
  <si>
    <t>IB bedrag</t>
  </si>
  <si>
    <t>Income tax amount (payable personally)</t>
  </si>
  <si>
    <t>Suma IB (segun politica internacíonal)</t>
  </si>
  <si>
    <t>Personal withdrawal</t>
  </si>
  <si>
    <t>Retiros privados</t>
  </si>
  <si>
    <t>Deduccion Priva</t>
  </si>
  <si>
    <t>Mutacion equidad</t>
  </si>
  <si>
    <t>Mutatie Eigen Vermogen</t>
  </si>
  <si>
    <t xml:space="preserve">Cash-flow overview  </t>
  </si>
  <si>
    <t xml:space="preserve">Resumen dinero en efectivo  </t>
  </si>
  <si>
    <t>Lista di Cash-flow</t>
  </si>
  <si>
    <t>Winst na belasting</t>
  </si>
  <si>
    <t>Net profit</t>
  </si>
  <si>
    <t>Ganancias de negocio</t>
  </si>
  <si>
    <t>Ganashi for di empresa</t>
  </si>
  <si>
    <t>Beschikbare kasmiddelen</t>
  </si>
  <si>
    <t>Available cash flow</t>
  </si>
  <si>
    <t>Efectivo disponible</t>
  </si>
  <si>
    <t>Fondonan efectivo disponibel</t>
  </si>
  <si>
    <t>Total personal withdrawal</t>
  </si>
  <si>
    <t>Total retiros privados</t>
  </si>
  <si>
    <t>Total deduccion priva</t>
  </si>
  <si>
    <t>Aflossingen</t>
  </si>
  <si>
    <t>Redemption</t>
  </si>
  <si>
    <t>Pagos</t>
  </si>
  <si>
    <t>Pago di cota</t>
  </si>
  <si>
    <t>Beschikbaar voor investeringen</t>
  </si>
  <si>
    <t>Available for investments</t>
  </si>
  <si>
    <t>Disponible para inversiones</t>
  </si>
  <si>
    <t>Disponibel pa Inverti</t>
  </si>
  <si>
    <t>Qredits maandlasten</t>
  </si>
  <si>
    <t>Qredits monthly costs</t>
  </si>
  <si>
    <t>Mensualidades Qredits</t>
  </si>
  <si>
    <t>Qredits gastonan mensual</t>
  </si>
  <si>
    <t>Indication based on the investment and financing budget as completed by you</t>
  </si>
  <si>
    <t>Indicación en base a su presupuesto de inversión y financiación completado</t>
  </si>
  <si>
    <t>Indicacion basa riba e presupuesto di inversion y financiamento cu bo a yena</t>
  </si>
  <si>
    <t>Looptijd in jaren</t>
  </si>
  <si>
    <t>Term in years</t>
  </si>
  <si>
    <t>Duración en años</t>
  </si>
  <si>
    <t>Duracion den aña</t>
  </si>
  <si>
    <t>Looptijd in maanden</t>
  </si>
  <si>
    <t>Term in months</t>
  </si>
  <si>
    <t>Duración en meses</t>
  </si>
  <si>
    <t>Duracion den luna</t>
  </si>
  <si>
    <t>Lening</t>
  </si>
  <si>
    <t>Loan</t>
  </si>
  <si>
    <t>Préstamo</t>
  </si>
  <si>
    <t>Fiansa</t>
  </si>
  <si>
    <t>Afsluitkosten</t>
  </si>
  <si>
    <t>Rente % per jaar</t>
  </si>
  <si>
    <t>Annual interest %</t>
  </si>
  <si>
    <t>Interés  % annual</t>
  </si>
  <si>
    <t>Interes % pa aña</t>
  </si>
  <si>
    <t>Rente % per maand</t>
  </si>
  <si>
    <t>Monthly interest %</t>
  </si>
  <si>
    <t>Interés % per mensual</t>
  </si>
  <si>
    <t>Interes pa luna</t>
  </si>
  <si>
    <t>Aflossing per maand</t>
  </si>
  <si>
    <t>Monthly redemption</t>
  </si>
  <si>
    <t>Pagos por mes</t>
  </si>
  <si>
    <t>Pago mensual</t>
  </si>
  <si>
    <t>Aflosmethode</t>
  </si>
  <si>
    <t>Amortization profile</t>
  </si>
  <si>
    <t>Maand 1e aflossing</t>
  </si>
  <si>
    <t>Month of first payment</t>
  </si>
  <si>
    <t>Primer mes de pago</t>
  </si>
  <si>
    <t xml:space="preserve">Luna 1e pago </t>
  </si>
  <si>
    <t xml:space="preserve">Jaar </t>
  </si>
  <si>
    <t xml:space="preserve">Year </t>
  </si>
  <si>
    <t xml:space="preserve">Año </t>
  </si>
  <si>
    <t xml:space="preserve">Aña </t>
  </si>
  <si>
    <t>Bedrag lening begin maand</t>
  </si>
  <si>
    <t>Amount at the beginning</t>
  </si>
  <si>
    <t>Suma préstamo pricipio mes</t>
  </si>
  <si>
    <t>Montante fiansa na inicio di luna</t>
  </si>
  <si>
    <t>Kosten rente per maand</t>
  </si>
  <si>
    <t>Monthly interest costs</t>
  </si>
  <si>
    <t>Gastos interés mensual</t>
  </si>
  <si>
    <t>Gastonan Interes mensual</t>
  </si>
  <si>
    <t>Te betalen per maand</t>
  </si>
  <si>
    <t>To be paid per month</t>
  </si>
  <si>
    <t>A pagar mensualmente</t>
  </si>
  <si>
    <t xml:space="preserve">Suma mensual </t>
  </si>
  <si>
    <t>Totaal betaald gedurende de looptijd</t>
  </si>
  <si>
    <t>Paid total during the term</t>
  </si>
  <si>
    <t xml:space="preserve">Total pagado durante periodo </t>
  </si>
  <si>
    <t>Total paga durante e termino di fiansa</t>
  </si>
  <si>
    <t>Totaal aflossing</t>
  </si>
  <si>
    <t>Total redemption</t>
  </si>
  <si>
    <t>Pago total</t>
  </si>
  <si>
    <t xml:space="preserve">Total pago </t>
  </si>
  <si>
    <t>Totaal rente</t>
  </si>
  <si>
    <t>Total interest</t>
  </si>
  <si>
    <t>Interés total</t>
  </si>
  <si>
    <t>Total interes</t>
  </si>
  <si>
    <t>Totaal afsluitkosten</t>
  </si>
  <si>
    <t>Total formalisation fee</t>
  </si>
  <si>
    <t>Total gastos de cierre</t>
  </si>
  <si>
    <t>Total gasto di contract</t>
  </si>
  <si>
    <t>Effectieve rente</t>
  </si>
  <si>
    <t>Effective interest rate</t>
  </si>
  <si>
    <t>Interés efectivo</t>
  </si>
  <si>
    <t>Interes efectivo</t>
  </si>
  <si>
    <t>Gefeliciteerd!</t>
  </si>
  <si>
    <t>Congratulations!</t>
  </si>
  <si>
    <t>¡Felicitaciones!</t>
  </si>
  <si>
    <t>Pabien!</t>
  </si>
  <si>
    <t>Je hebt de succesvol module 'De Cijfers' doorlopen. De antwoorden die je hebt in gevuld op de vragen in de e-learning staan op het tabblad 'Mijn Antwoorden'. Als je hieronder op 'Mijn Antwoorden' klikt kun je ze bekijken en eventueel aanpassen.</t>
  </si>
  <si>
    <t>You have successfully completed the module ‘The Figures’. The answers you have provided to the questions in the e-learning programme are under the tab 'My Answers'. If you click below on 'My Answers', you can view them and, if necessary, change them.</t>
  </si>
  <si>
    <t>Has completado correctamente el módulo de "Las cifras". Tus respuestas a las preguntas en el aprendizaje electrónico "están en la lengüeta Mis respuestas. Si haces clic aquí abajo en "Mis respuestas ", las puedes ver y modificarlas de ser necesario.</t>
  </si>
  <si>
    <t>Bo a pasa dor di e modulo E Cifranan exitosamente. E contestanan cu bo a yena riba e preguntanan den e curso Online ta riba e pagina ´´Mi contestanan¨.  Si bo primi riba ¨Mi Contestanan¨ bo por mira nan y si mester haci cambio den nan.</t>
  </si>
  <si>
    <t xml:space="preserve">    Mijn Antwoorden</t>
  </si>
  <si>
    <t xml:space="preserve">    My Answers</t>
  </si>
  <si>
    <t>Mis respuestas</t>
  </si>
  <si>
    <t>Mi Contestanan</t>
  </si>
  <si>
    <t>De antwoorden die je hebt ingevuld zijn verwerkt in dit financieel plan. Met dit plan heb je in beeld wat de financiële verwachtingen van je op te starten onderneming zijn. Klik op de onderstaande begrotingen om ze te bekijken.</t>
  </si>
  <si>
    <t>The answers you have provided are included in this financial plan. This plan will give you a picture of the financial expectations of your future company. Click on the budgets below to view them.</t>
  </si>
  <si>
    <t>Tus respuestas están elaboradas en este plan financiero. Con este plan, tienes una idea sobre las espectativas de tu negocio por iniciar. Hacer clic en los presupuestos a continuación, para verlas.</t>
  </si>
  <si>
    <t xml:space="preserve">E contestanan cu bo a yena ta procesa den e plan financiero aki. Cu e plan aki bo tin un imagen di kico e espectativanan financiero di bo empresa cu bo kier bay inicia, ta. </t>
  </si>
  <si>
    <t>BEREKENING APR VOOR</t>
  </si>
  <si>
    <t>Termijn</t>
  </si>
  <si>
    <t>Periode</t>
  </si>
  <si>
    <t>Aflossing</t>
  </si>
  <si>
    <t>Rente</t>
  </si>
  <si>
    <t>Contante waarde</t>
  </si>
  <si>
    <t>Nr</t>
  </si>
  <si>
    <t>Vervaldatum</t>
  </si>
  <si>
    <t>Vanaf</t>
  </si>
  <si>
    <t>Tot en met</t>
  </si>
  <si>
    <t>Prorata</t>
  </si>
  <si>
    <t>Grondslag</t>
  </si>
  <si>
    <t>Cashflow</t>
  </si>
  <si>
    <t>Cashflow met kosten</t>
  </si>
  <si>
    <t>Nominale</t>
  </si>
  <si>
    <t>Effectieve</t>
  </si>
  <si>
    <t>Divisor</t>
  </si>
  <si>
    <t>looptijd</t>
  </si>
  <si>
    <t>Yes</t>
  </si>
  <si>
    <t>Si</t>
  </si>
  <si>
    <t>Nee</t>
  </si>
  <si>
    <t>No</t>
  </si>
  <si>
    <t>minder dan 525 uren</t>
  </si>
  <si>
    <t>525 - 875 uren</t>
  </si>
  <si>
    <t>875 -1225 uren</t>
  </si>
  <si>
    <t>Ontvangen</t>
  </si>
  <si>
    <t>1225 - 1750 uren</t>
  </si>
  <si>
    <t>Betalen</t>
  </si>
  <si>
    <t>meer dan 1750 uren</t>
  </si>
  <si>
    <t>Directo</t>
  </si>
  <si>
    <t>Binnen 14 dagen</t>
  </si>
  <si>
    <t>Within 14 days</t>
  </si>
  <si>
    <t>Dentro 14 dias</t>
  </si>
  <si>
    <t>Den 14 dia</t>
  </si>
  <si>
    <t>Binnen 30 dagen</t>
  </si>
  <si>
    <t>Within 30 days</t>
  </si>
  <si>
    <t>Dentro 30 diass</t>
  </si>
  <si>
    <t>Den 30 dia</t>
  </si>
  <si>
    <t>Binnen 60 dagen</t>
  </si>
  <si>
    <t>Within 60 days</t>
  </si>
  <si>
    <t>Dentro 60 dias</t>
  </si>
  <si>
    <t>Den 60 dia</t>
  </si>
  <si>
    <t>Binnen 90 dagen</t>
  </si>
  <si>
    <t>Within 90 days</t>
  </si>
  <si>
    <t>Dentro 90 dias</t>
  </si>
  <si>
    <t>Den 90 dia</t>
  </si>
  <si>
    <t>Uitkering</t>
  </si>
  <si>
    <t>loopt gewoon door</t>
  </si>
  <si>
    <t>gestopt</t>
  </si>
  <si>
    <t>maanden</t>
  </si>
  <si>
    <t>Breng ik zelf in</t>
  </si>
  <si>
    <t>Supplied by myself</t>
  </si>
  <si>
    <t>Aportado por mi</t>
  </si>
  <si>
    <t>Mi mes ta inverti</t>
  </si>
  <si>
    <t>Yet to be invested</t>
  </si>
  <si>
    <t>Aun por invertir</t>
  </si>
  <si>
    <t>Ainda pa inverti</t>
  </si>
  <si>
    <t>continuous</t>
  </si>
  <si>
    <t>Continua normal</t>
  </si>
  <si>
    <t>ta sigui core normal</t>
  </si>
  <si>
    <t>stopped</t>
  </si>
  <si>
    <t>Parado</t>
  </si>
  <si>
    <t>para</t>
  </si>
  <si>
    <t>tot maand 1</t>
  </si>
  <si>
    <t>till month 1</t>
  </si>
  <si>
    <t>Hasta mes 1</t>
  </si>
  <si>
    <t>t/cu luna 1</t>
  </si>
  <si>
    <t>tot maand 2</t>
  </si>
  <si>
    <t>till month 2</t>
  </si>
  <si>
    <t>Hasta mes 2</t>
  </si>
  <si>
    <t>t/c luna 2</t>
  </si>
  <si>
    <t>tot maand 3</t>
  </si>
  <si>
    <t>till month 3</t>
  </si>
  <si>
    <t>Hasta mes 3</t>
  </si>
  <si>
    <t>t/c luna 3</t>
  </si>
  <si>
    <t>tot maand 4</t>
  </si>
  <si>
    <t>till month 4</t>
  </si>
  <si>
    <t>Hasta mes 4</t>
  </si>
  <si>
    <t xml:space="preserve">t/c luna 4 </t>
  </si>
  <si>
    <t>tot maand 5</t>
  </si>
  <si>
    <t>till month 5</t>
  </si>
  <si>
    <t>Hasta mes 5</t>
  </si>
  <si>
    <t>t/c luna 5</t>
  </si>
  <si>
    <t>tot maand 6</t>
  </si>
  <si>
    <t>till month 6</t>
  </si>
  <si>
    <t>Hasta mes 6</t>
  </si>
  <si>
    <t>t/c luna 6</t>
  </si>
  <si>
    <t>Deduccion por colaboracion</t>
  </si>
  <si>
    <t>Deduccion pa colaborador</t>
  </si>
  <si>
    <t>menos de 525 horas</t>
  </si>
  <si>
    <t>menos cu 525 ora</t>
  </si>
  <si>
    <t>525 - 875 hours</t>
  </si>
  <si>
    <t>525 - 875 horas</t>
  </si>
  <si>
    <t>525 - 875 ora</t>
  </si>
  <si>
    <t>875 -1225 hours</t>
  </si>
  <si>
    <t>875 -1225 horas</t>
  </si>
  <si>
    <t>875 -1225 ora</t>
  </si>
  <si>
    <t>1225 - 1750 hours</t>
  </si>
  <si>
    <t>1225 - 1750 horas</t>
  </si>
  <si>
    <t>1225 - 1750 ora</t>
  </si>
  <si>
    <t>more than 1750 hours</t>
  </si>
  <si>
    <t>mas de 1750 horas</t>
  </si>
  <si>
    <t>mas cu 1750 ora</t>
  </si>
  <si>
    <t xml:space="preserve">Periodo de gracia </t>
  </si>
  <si>
    <t>Periodo di Gracia</t>
  </si>
  <si>
    <t>Rechtsvorm</t>
  </si>
  <si>
    <t>V.O.F.</t>
  </si>
  <si>
    <t>B.V.</t>
  </si>
  <si>
    <t>Ondernemers</t>
  </si>
  <si>
    <t>One</t>
  </si>
  <si>
    <t>Twee</t>
  </si>
  <si>
    <t>Two</t>
  </si>
  <si>
    <t>Meer</t>
  </si>
  <si>
    <t>More</t>
  </si>
  <si>
    <t>Annuïteit</t>
  </si>
  <si>
    <t>Annuity</t>
  </si>
  <si>
    <t>Lineair</t>
  </si>
  <si>
    <t>Linear</t>
  </si>
  <si>
    <t>Boekjaar</t>
  </si>
  <si>
    <t>Laatst bijgewerkt:</t>
  </si>
  <si>
    <t>Deel winst</t>
  </si>
  <si>
    <t>Totaal investeringen*</t>
  </si>
  <si>
    <t>IB</t>
  </si>
  <si>
    <t>Aftrek</t>
  </si>
  <si>
    <t>van</t>
  </si>
  <si>
    <t>tot</t>
  </si>
  <si>
    <t>Tarief</t>
  </si>
  <si>
    <t>Schijf</t>
  </si>
  <si>
    <t>Meegewerkte uren partner</t>
  </si>
  <si>
    <t>Investeringsbedrag</t>
  </si>
  <si>
    <t>Winst ondernemingsaftrek</t>
  </si>
  <si>
    <t>Korting</t>
  </si>
  <si>
    <t>Vertaling</t>
  </si>
  <si>
    <t>Ondernemer:</t>
  </si>
  <si>
    <t>1e ondernemer:</t>
  </si>
  <si>
    <t>2e ondernemer:</t>
  </si>
  <si>
    <t>Entrepreneur:</t>
  </si>
  <si>
    <t>First entrepreneur:</t>
  </si>
  <si>
    <t>Second entrepreneur:</t>
  </si>
  <si>
    <t>What is the extent of this income per month?</t>
  </si>
  <si>
    <t>How much of this income will your partner still receive once you've started up your business?</t>
  </si>
  <si>
    <t>a. Hoeveel rente betaal je hiervoor per maand?</t>
  </si>
  <si>
    <t>a. How much will you pay for interest?</t>
  </si>
  <si>
    <t>b. Hoeveel moet je per maand terugbetalen (aflossen)?</t>
  </si>
  <si>
    <t>b. How much will you repay (pay off) per month?</t>
  </si>
  <si>
    <t>c. Wanneer begin je met aflossen?</t>
  </si>
  <si>
    <t>c. When will you start paying off the loans?</t>
  </si>
  <si>
    <t xml:space="preserve"> - Vanaf wanneer heb je deze kosten?</t>
  </si>
  <si>
    <t xml:space="preserve"> - From when will you incur these costs?</t>
  </si>
  <si>
    <t>Hoeveel procent van je omzet betaal je voor de inkoop?</t>
  </si>
  <si>
    <t>What percentage of your revenue do you pay for the purchase?</t>
  </si>
  <si>
    <t>What BTW rate applies to the purchase price?</t>
  </si>
  <si>
    <t>When do you need to pay your suppliers (for your purchases)?</t>
  </si>
  <si>
    <t xml:space="preserve"> - ¿A partir de cuando tienes estos gastos?</t>
  </si>
  <si>
    <t>¿Cuáles son los ingresos mensuales?</t>
  </si>
  <si>
    <t>Cuanto e entradanan aki ta luna?</t>
  </si>
  <si>
    <t>¿Cuánto de ese ingreso recibe tu pareja, después de iniciar tu negocio?</t>
  </si>
  <si>
    <t>Cuanto di e entrada ey bo pareha ta ricibi ainda na momento cu bo start bo negoshi?</t>
  </si>
  <si>
    <t>a. ¿Cuánto interés pagas mensualmente?</t>
  </si>
  <si>
    <t>a. Cuanto interes bo ta paga pa luna di esaki?</t>
  </si>
  <si>
    <t>b. Cuanto bo tin cu paga bek pa luna riba esaki?</t>
  </si>
  <si>
    <t>b. ¿Cuánto debes pagar mensualmente (redimir)?</t>
  </si>
  <si>
    <t>c. ¿Cuando empiezas con los pagos?</t>
  </si>
  <si>
    <t>c. Ki tempo bo ta cuminsa paga bek?</t>
  </si>
  <si>
    <t>vast bedrag voor rente en aflossing</t>
  </si>
  <si>
    <t>fixed amount for both interest and repayment</t>
  </si>
  <si>
    <t>vast bedrag voor aflossing</t>
  </si>
  <si>
    <t>fixed amount for repayment</t>
  </si>
  <si>
    <t xml:space="preserve"> Vennootschapsbelasting</t>
  </si>
  <si>
    <t xml:space="preserve"> Corporate income tax</t>
  </si>
  <si>
    <t xml:space="preserve"> Tax (income)</t>
  </si>
  <si>
    <t xml:space="preserve"> Salaris directie</t>
  </si>
  <si>
    <t xml:space="preserve"> Salary management</t>
  </si>
  <si>
    <t xml:space="preserve"> Private withdrawal</t>
  </si>
  <si>
    <t>Profit</t>
  </si>
  <si>
    <t>Changes in Equity</t>
  </si>
  <si>
    <t>Amount annuity</t>
  </si>
  <si>
    <t>Bedrag maandelijkse aflossing</t>
  </si>
  <si>
    <t>Amount monthly redemption</t>
  </si>
  <si>
    <t>Fill in separate answers to personal finance questions for both entrepreneurs (answers for husband &amp; wife may be combined).</t>
  </si>
  <si>
    <t>Fill in separate answers to personal finance questions for maximum two entrepreneurs (answers for husband &amp; wife may be combined).</t>
  </si>
  <si>
    <t>Use column F for answers to questions about personal finances.</t>
  </si>
  <si>
    <t>Hoeveel salaris ga je maandelijks uit de B.V. halen?</t>
  </si>
  <si>
    <t>What monthly income will you draw from the company?</t>
  </si>
  <si>
    <t>Vul het brutoloon in:</t>
  </si>
  <si>
    <t>Please fill in the gross salary:</t>
  </si>
  <si>
    <t>Investeringen</t>
  </si>
  <si>
    <t>Ja/Nee</t>
  </si>
  <si>
    <t>*inclusief grens</t>
  </si>
  <si>
    <t>Zelfstandigenaftrek (2023)</t>
  </si>
  <si>
    <t>Startersaftrek (2023)</t>
  </si>
  <si>
    <t>Meewerkaftrek (2023)</t>
  </si>
  <si>
    <t>Investeringsaftrek (2023)</t>
  </si>
  <si>
    <t>MKB-winstvrijstelling (2023)</t>
  </si>
  <si>
    <t>Variabelen IB 2023</t>
  </si>
  <si>
    <t>Heffingskorting (2023)</t>
  </si>
  <si>
    <t>Arbeidskorting (2023)</t>
  </si>
  <si>
    <t>Rekenblad IB en VPB</t>
  </si>
  <si>
    <t>Variabelen VPB 2023</t>
  </si>
  <si>
    <t>VPB</t>
  </si>
  <si>
    <t>Belastbaar inkomen VPB</t>
  </si>
  <si>
    <t>If you receive (temporary) benefits or other income, how much is this per month?</t>
  </si>
  <si>
    <t>How long will this benefit or other income continue after the start-up of your business?</t>
  </si>
  <si>
    <t>Heb je een levenspartner met inkomen (uit loondienstverband of uitkering)?</t>
  </si>
  <si>
    <t>Do you have a life partner with an income (from employment or benefits)?</t>
  </si>
  <si>
    <t>Wat is de hoogte van je openstaande hypotheek?</t>
  </si>
  <si>
    <t>How much is the outstanding mortgage?</t>
  </si>
  <si>
    <t>Machines en/of gereedschappen</t>
  </si>
  <si>
    <t>Machinery and/or equipment</t>
  </si>
  <si>
    <t>Transportation vehicles</t>
  </si>
  <si>
    <t>Promotional costs</t>
  </si>
  <si>
    <t xml:space="preserve">Hoeveel geld heb je geleend en/of ga je lenen bij overige financieringsbronnen? </t>
  </si>
  <si>
    <t xml:space="preserve">How much have you borrowed and/or will you borrow from other sources of finance? </t>
  </si>
  <si>
    <t>What is the projected monthly revenue of the first year of operations?</t>
  </si>
  <si>
    <t>Hoeveel omzet verwacht je per maand te realiseren in het eerste actieve bedrijfsjaar?</t>
  </si>
  <si>
    <t>Ondernemer</t>
  </si>
  <si>
    <t>Urencriterium</t>
  </si>
  <si>
    <t>Uitleg aftrekposten</t>
  </si>
  <si>
    <t>Explanation tax deductions</t>
  </si>
  <si>
    <t>Entrepreneur</t>
  </si>
  <si>
    <t>As a self-employed entrepreneur, you may be eligible for the zelfstandigenaftrek. You are then allowed to deduct a fixed amount from your profit, which reduces your tax payment.
You are entitled to the zelfstandigenaftrek if you:
      - Are an entrepreneur
      - Meet the hour criterion
      - Have not reached the state pension age (AOW-leeftijd) at the beginning of the calendar year.</t>
  </si>
  <si>
    <t>Hour criterion</t>
  </si>
  <si>
    <t>As a starting entrepeneur, you may be eligible for the startersaftrek. Similar to the zelfstandigenaftrek, you are allowed to deduct a fixed amount from your profit.
You are entitled to the startersaftrek if you:
      - Are entitled to the zelfstandigenaftrek
      - Have not been an entrepreneur every year in the past 5 years
      - Have used the zelfstandigenaftrek at most two times in the past 5 years</t>
  </si>
  <si>
    <t>If your partner contributes (largely) unpaid labor to the business, you can benefit from the meewerkaftrek. The meewerkaftrek depends on the achieved profit and the number of hours contributed. Therefore, maintain a record of hours worked!
You are entitled to the meewerkaftrek if you:
      - Are an entrepreneur
      - Meet the hour criterion
      - Have a fiscal partner who works 525 hours or more without compensation in your business, or for compensation 
        of less that € 5,000
      - Can substantiate the number of hours contributed</t>
  </si>
  <si>
    <t>Not every entrepreneur is considered a tax entrepreneur. To qualify for tax entrepreneur status, you must meet several conditions.
The Tax Authority applies the following principles in this regard:
      - Profit: If you only have a very small profit or consistently experience losses, it is not likely that you will 
        generate profits. In such cases, there is no indication of a business.
      - Independence: If others dictate how you should organize your business and carry out your activities, the aspect 
         of independence is lacking, and typically there is no sign of a business.
      - Capital: Capital is essential for many businesses. You need to invest in things like machinery, advertising, 
         hiring personnel, and insurance. Having sufficient capital to start a business and keep it operational for some 
         time suggests that you might have a business.
      - Time: If you allocate a significant amount of time to an activity without generating returns, it usually doesn't 
         qualify as a business. However, you still need to allocate sufficient time to make your activities profitable.
      - Clients: Your objective is to have multiple clients, among other reasons, to reduce payment and continuity risks. 
         Having multiple clients makes you less dependent on one or a few clients and increases your independence.
      - Image: Your existence depends on clients. To be considered an entrepreneur, you must ensure that your 
         business is sufficiently recognized, for example, through advertising, a website, social media, signage, or your 
         own stationery.
      - Business Risk: Is there a possibility that your clients might not pay? Do you leverage your good reputation for 
         performing your activities? Are you reliant on the demand for and supply of your products and services? If you're 
         exposed to "business risk," you probably have a business.
      - Liability: If you are liable for your business's debts, you might be considered an entrepreneur.</t>
  </si>
  <si>
    <t xml:space="preserve">You meet the hour criterion if you:
      - Spent at least 1,225 hours on your business(es) during the calendar year. Did you interrupt your work as an 
        entrepreneur due to your pregnancy? In that case, the non-worked hours over a total of 16 weeks still count as 
        worked hours.
      - Need to spend more time on your businesses than on other activities (for instance, employment).
If you're not an entrepreneur for the entire year, perhaps because you started in the middle of the year, you still need to dedicate at least 1,225 hours to your business(es). The 1,225 hours cannot be prorated for the period during which you are an entrepreneur.
</t>
  </si>
  <si>
    <t>Inkomensafhankelijke bijdrage Zvw</t>
  </si>
  <si>
    <t>Bijdrage</t>
  </si>
  <si>
    <t>Bijdrage Zvw</t>
  </si>
  <si>
    <t>Tariefsaanpassing aftrekposten</t>
  </si>
  <si>
    <t>Tariefaanpassingen</t>
  </si>
  <si>
    <t>Kortingen</t>
  </si>
  <si>
    <t>Kies voor 'Twee' of 'Meer'.</t>
  </si>
  <si>
    <t>Select 'Two' or 'More'.</t>
  </si>
  <si>
    <t>This format will help you fill in the budgets. 
You can put together your financial plan by answering the questions on the QUESTIONNAIRE worksheet. For most questions you fill in an amount, for other questions you either put in a number or select an option from a dropdown menu. By answering the questionnaire, the financial overviews are automatically filled in and calculated. These budgets can be found on the blue worksheets which cannot be filled in or altered manually. 
If you wish to make a change, do so by modifying the light blue cells in the questionnaire! The remaining cells are locked with a password. This password is not required to fill out the plan and will not be provided. Qredits does not want its template to be altered.</t>
  </si>
  <si>
    <t>If you are drafting this plan for a Qredits loan application, you can upload the financial plan together with your business plan at:</t>
  </si>
  <si>
    <t>What is this?</t>
  </si>
  <si>
    <t>Privé: aftrekposten Belastingdienst</t>
  </si>
  <si>
    <t>Private: tax deductions</t>
  </si>
  <si>
    <t>less than 525 hours</t>
  </si>
  <si>
    <t>Click here to return to the QUESTIONNAIRE</t>
  </si>
  <si>
    <t>vul nettobedrag in:</t>
  </si>
  <si>
    <t>enter amount:</t>
  </si>
  <si>
    <t>enter percentage:</t>
  </si>
  <si>
    <t>enter net amount:</t>
  </si>
  <si>
    <t>calculated:</t>
  </si>
  <si>
    <t>Verzekeringen (aansprakelijkheid, arbeidsongeschiktheid, inboedel)</t>
  </si>
  <si>
    <t>Insurance (liability, disability, contents)</t>
  </si>
  <si>
    <t>Administratiekosten (accountant, adviseur, boekhoudpakket)</t>
  </si>
  <si>
    <t>Administration costs (accountant, consultant, accounting package)</t>
  </si>
  <si>
    <t>Subscriptions (telephone, internet, trade journals, industry associations, Chamber of Commerce, accountant, consultant etc.)</t>
  </si>
  <si>
    <t>Office supplies (stationery, paper, cartridges, stamps etc.)</t>
  </si>
  <si>
    <t>Overig</t>
  </si>
  <si>
    <t>Other</t>
  </si>
  <si>
    <t>Bron: Belastingdienst</t>
  </si>
  <si>
    <t>Source: Belastingdienst</t>
  </si>
  <si>
    <t>Printen</t>
  </si>
  <si>
    <t>Promotie/reclame (onderhoudskosten website, domeinnaam, Google Ads)</t>
  </si>
  <si>
    <t>Promotion/publicity (website maintenance, domain name, Google Ads)</t>
  </si>
  <si>
    <t>Overige verzekeringen (inboedel, WA, e.d.)</t>
  </si>
  <si>
    <t>Vervoer (brandstof, onderhoud, abonnement)</t>
  </si>
  <si>
    <t>Abonnementen (telefoon, internet, vakbladen, brancheverenigingen, KVK, accountant, adviseur)</t>
  </si>
  <si>
    <t>Welk btw-tarief is van toepassing op de inkoopprijs?</t>
  </si>
  <si>
    <t>Welk btw-tarief is van toepassing op de verkoopprijs?</t>
  </si>
  <si>
    <t>Vaste activa (excl. btw)</t>
  </si>
  <si>
    <t>Vlottende activa (excl. btw)</t>
  </si>
  <si>
    <t>Btw over investeringen</t>
  </si>
  <si>
    <t xml:space="preserve"> Btw</t>
  </si>
  <si>
    <t xml:space="preserve"> Omzet incl. btw</t>
  </si>
  <si>
    <t xml:space="preserve"> Omzet product 1 (excl. btw)</t>
  </si>
  <si>
    <t xml:space="preserve"> Omzet product 2 (excl. btw)</t>
  </si>
  <si>
    <t xml:space="preserve"> Btw inkoop</t>
  </si>
  <si>
    <t xml:space="preserve"> Btw investeringen/kosten</t>
  </si>
  <si>
    <t xml:space="preserve"> Btw-afdracht</t>
  </si>
  <si>
    <t>Brutowinst</t>
  </si>
  <si>
    <t>Netto-omzet product 1</t>
  </si>
  <si>
    <t>Netto-omzet product 2</t>
  </si>
  <si>
    <t>Totaal brutowinst</t>
  </si>
  <si>
    <t>Totaal bedrijfskosten</t>
  </si>
  <si>
    <t>Mutatie eigen vermogen</t>
  </si>
  <si>
    <t>Wat is dit?</t>
  </si>
  <si>
    <t>Als zelfstandig ondernemer kan je in aanmerking komen voor de zelfstandigenaftrek. Je mag dan een vast bedrag van je winst aftrekken. Daardoor betaal je minder belasting. 
Je hebt recht op de zelfstandigenaftrek als je:
      - Ondernemer bent
      - Voldoet aan het urencriterium
      - Aan het begin van het kalenderjaar de AOW-leeftijd nog niet hebt bereikt</t>
  </si>
  <si>
    <t>Werkt jouw partner (grotendeels) onbetaald mee in de onderneming, dan kan je profiteren van de meewerkaftrek. De meewerkaftrek is afhankelijk van de behaalde winst en het aantal meegewerkte uren. Houd dus een urenadministratie bij!
Je hebt recht op de meewerkaftrek als je:
      - Ondernemer bent
      - Voldoet aan het urencriterium
      - Een fiscale partner hebt die 525 uren of meer zonder vergoeding in uw onderneming werkt, of tegen een 
        vergoeding van minder dan € 5.000
      - Het aantal meegewerkte uren aannemelijk kan maken</t>
  </si>
  <si>
    <t>Niet iedere ondernemer, is ondernemer voor de belasting. Om in aamerking te komen voor de status van ondernemer voor de belasting moet je voldoen aan een aantal voorwaarden.
De Belastindienst hanteert daarbij de volgende uitgangspunten:
      - Winst: Als je alleen een hele kleine winst hebt of structureel verlies lijdt, is het niet aannemelijk dat je winst
         gaat maken. Er is dan geen sprake van een onderneming.
      - Zelfstandigheid: Als anderen bepalen hoe je jouw onderneming moet inrichten en hoe je jouw werkzaamheden
         uitvoert, ontbreekt de zelfstandigheid en is er meestal geen sprake van een onderneming.
      - Kapitaal: Kapitaal is voor veel ondernemingen noodzakelijk. Je moet investeren in bijvoorbeeld machines, 
         reclame, inhuur van mensen en verzekeringen. Voldoende kapitaal om een onderneming te starten en enige 
         tijd draaiende te houden, wijst erop dat je mogelijk een onderneming hebt.
      - Tijd: Als je erg veel tijd aan een activiteit besteedt zonder dat dat rendement oplevert, is er meestal geen sprake 
         van een onderneming. Maar je moet wel voldoende tijd aan jouw werkzaamheden besteden om deze rendabel te 
         maken.
      - Opdrachtgevers: Het is jouw doel om meerdere opdrachtgevers te hebben, onder andere om betalings- en 
         continuïteitsrisico's te verkleinen. Als je meerdere opdrachtgevers hebt, ben je minder afhankelijk van een of 
         enkele opdrachtgevers en neemt jouw zelfstandigheid toe.
      - Uitstraling: Je bent voor jouw bestaan afhankelijk van opdrachtgevers. Om ondernemer te zijn, moet je zorgen dat 
        jouw onderneming voldoende bekend is, bijvoorbeeld via reclame, een internetsite, social media, een 
        uithangbord of eigen briefpapier.
      - Ondernemersrisico: Bestaat er een kans dat jouw opdrachtgevers niet betalen? Gebruik je jouw goede naam voor 
        de uitoefening van jouw werkzaamheden? Ben je afhankelijk van de vraag naar en het aanbod van jouw producten 
        en diensten? Loop je 'ondernemersrisico', dan heb je waarschijnlijk een onderneming.
      - Aansprakelijkheid: Als je aansprakelijk bent voor de schulden van jouw onderneming, dan ben je mogelijk 
        ondernemer.</t>
  </si>
  <si>
    <t>Als startende ondernemer kan je in aanmerking komen voor de startersaftrek. Je mag dan, net als bij de zelfstandigenaftrek, een vast bedrag van je winst aftrekken. 
Je hebt recht op de startersaftrek als je:
      - Recht hebt op de zelfstandigenaftrek
      - In de afgelopen 5 jaar niet elk jaar ondernemer was
      - In de afgelopen 5 jaar de zelfstandigenaftrek maximaal twee keer hebt gebruikt</t>
  </si>
  <si>
    <t>Je voldoet aan het urencriterium als je:
      - In het kalenderjaar minimaal 1.225 uren aan jouw onderneming(en) hebt besteed. Onderbrak je jouw werk als 
        ondernemer door jouw zwangerschap? Dan tellen de niet-gewerkte uren over totaal 16 weken toch mee als 
        gewerkte uren.
      - Meer tijd moet besteden aan jouw ondernemingen dan aan andere werkzaamheden (bijvoorbeeld in loondienst).
Als je niet het hele jaar ondernemer bent, doordat je bijvoorbeeld in de loop van het jaar bent gestart, moet je toch minimaal 1.225 uren aan jouw onderneming(en) besteden. De 1.225 uren mogen dan niet omgerekend worden naar de periode dat je ondernemer bent.</t>
  </si>
  <si>
    <t>Let op! Voordat je verder gaat moet het bestand worden opgeslagen op jouw computer. Dit doe je via Bestand -&gt; Opslaan als, of met F12.</t>
  </si>
  <si>
    <t>Dit format helpt je met het opstellen van de begrotingen. 
Het opstellen van dit financieel plan doe je door het beantwoorden van de vragen die worden gesteld op het tabblad VRAGENLIJST. Bij de meeste vragen moet je een bedrag invullen, bij andere vragen moet je een getal of onderdeel selecteren uit een lijst. Door het beantwoorden van de vragenlijst, worden de financiële overzichten automatisch ingevuld en doorgerekend. Deze overzichten zijn te vinden op de blauwgekleurden tabbladen. Deze tabbladen zijn niet in te vullen of te wijzigen. 
Als je een wijziging wilt aanbrengen doe je dat door de lichtblauwe cellen in de vragenlijst te wijzigen! De overige cellen zijn vergrendeld met een wachtwoord. Dit wachtwoord is niet nodig voor het invullen van het plan en wordt ook niet vrijgegeven. Qredits wil namelijk niet dat het sjabloon wordt aangepast.</t>
  </si>
  <si>
    <t>Het opstellen van dit financieel plan doe je door het beantwoorden van de vragen die worden gesteld op het tabblad VRAGENLIJST.</t>
  </si>
  <si>
    <t>Deze overzichten zijn te vinden op de blauwgekleurden tabbladen. Deze tabbladen zijn niet in te vullen of te wijzigen. Als je een wijziging wilt aanbrengen doe je dat door de lichtblauwe cellen in de vragenlijst te wijzigen!</t>
  </si>
  <si>
    <t>https://qredits.nl/zakelijk-krediet</t>
  </si>
  <si>
    <t xml:space="preserve">Disclaimer: Qredits draagt er zorg voor om de inhoud van deze module regelmatig bij te werken of toevoegingen hieraan te maken. Desalniettemin is Qredits niet aansprakelijk voor onjuistheden of onvolledigheden in de aangeboden inhoud. Qredits is op geen enkele wijze aansprakelijk voor schade voortvloeiend uit het gebruik van deze module. Het is de gebruiker slechts toegestaan om de module voor eigen gebruik op te slaan, af te drukken en te kopiëren.  </t>
  </si>
  <si>
    <t>Om mee te beginnen…</t>
  </si>
  <si>
    <t>Uit hoeveel ondernemers bestaat het bedrijf?</t>
  </si>
  <si>
    <t>vul perc. in:</t>
  </si>
  <si>
    <t>Vul de antwoorden op de privévragen voor max. twee ondernemers apart in. (Man/vrouw kan ook gezamenlijk)</t>
  </si>
  <si>
    <t>Vul de antwoorden op de privévragen voor beide ondernemers apart in. (Man/vrouw kan ook gezamenlijk)</t>
  </si>
  <si>
    <t>Vul de antwoorden op de privévragen in bij kolom F.</t>
  </si>
  <si>
    <t>Als je een (tijdelijke) uitkering of overig inkomen ontvangt, hoe hoog is deze dan per maand?</t>
  </si>
  <si>
    <t>Hoelang loopt deze uitkering of dit overige inkomen door na de start van jouw bedrijf?</t>
  </si>
  <si>
    <t>Hoe hoog zijn de toeslagen (zoals kind-, zorg- en huurtoeslag) per maand?</t>
  </si>
  <si>
    <t>Hoe hoog is dit inkomen per maand?</t>
  </si>
  <si>
    <t>Hoeveel van dit inkomen ontvangt je partner nog als je jouw bedrijf hebt opgestart?</t>
  </si>
  <si>
    <t>Totaal gezamenlijk maandinkomen op dit moment:</t>
  </si>
  <si>
    <t>Totaal gezamenlijk maandinkomen wanneer je bedrijf is opgestart:</t>
  </si>
  <si>
    <t>Hoeveel geef je maandelijks privé uit?</t>
  </si>
  <si>
    <t>Aflossing en rente privélening (geen hypotheek)</t>
  </si>
  <si>
    <t>Wat is de WOZ-waarde van je woning?</t>
  </si>
  <si>
    <t>Promotie- en aanloopkosten</t>
  </si>
  <si>
    <t xml:space="preserve"> Afdracht inkomstenbelasting</t>
  </si>
  <si>
    <t xml:space="preserve"> Privéonttrekking</t>
  </si>
  <si>
    <t>IB-bedrag</t>
  </si>
  <si>
    <t>Privéonttrekking</t>
  </si>
  <si>
    <t xml:space="preserve">Cashflowoverzicht  </t>
  </si>
  <si>
    <t>Totale privéonttrekking</t>
  </si>
  <si>
    <t xml:space="preserve">    Investment budget</t>
  </si>
  <si>
    <t xml:space="preserve">    Financing budget</t>
  </si>
  <si>
    <t xml:space="preserve">    Operating budget</t>
  </si>
  <si>
    <t xml:space="preserve">    Cash flow budget</t>
  </si>
  <si>
    <t>You can put together your financial plan by answering the questions on the QUESTIONNAIRE worksheet.</t>
  </si>
  <si>
    <t>Print</t>
  </si>
  <si>
    <t>You can print the entire financial plan by selecting the box 'entire working folder' in the 'print' screen.</t>
  </si>
  <si>
    <t>But first…</t>
  </si>
  <si>
    <t>Het maken van een financieel plan is een belangrijk onderdeel van je ondernemingsplan, zeker als je een financiering wilt aanvragen. Een compleet financieel plan bestaat minimaal uit onderstaande begrotingen. Klik op de onderstaande begrotingen om ze te bekijken.</t>
  </si>
  <si>
    <t>Je kunt dit financieel plan gebruiken voor een kredietaanvraag bij Qredits. Kijk voor meer informatie over onze zakelijke kredieten op:</t>
  </si>
  <si>
    <t>Huishoudelijke uitgaven (voeding, kleding, sport)</t>
  </si>
  <si>
    <t>Dit bedrag moet je maandelijks uit je onderneming halen voor privédoeleinden als je bent gestart:</t>
  </si>
  <si>
    <t>Nog te investeren</t>
  </si>
  <si>
    <t>Kantoorartikelen (pennen, papier, cartridges)</t>
  </si>
  <si>
    <t>Wanneer moet je je leveranciers betalen voor de inkoop?</t>
  </si>
  <si>
    <t>Spaargeld</t>
  </si>
  <si>
    <t>In hoeveel jaar wil je de lening terugbetalen?</t>
  </si>
  <si>
    <t>Na hoeveel maanden wil je beginnen met aflossen?</t>
  </si>
  <si>
    <t>Hoe wil je aflossen?</t>
  </si>
  <si>
    <t xml:space="preserve"> Eigen inbreng (spaargeld)</t>
  </si>
  <si>
    <t>Hoeveel geld heb je geleend en/of ga je lenen bij familie/vrienden?</t>
  </si>
  <si>
    <t xml:space="preserve"> Vervoer-/transportkosten</t>
  </si>
  <si>
    <t xml:space="preserve"> Aflossing Qredits</t>
  </si>
  <si>
    <t>Vervoer-/transportkosten</t>
  </si>
  <si>
    <t>Afschrijvingskosten</t>
  </si>
  <si>
    <t>Indicatie op basis van de door jou ingevulde investerings- en financieringsbegroting</t>
  </si>
  <si>
    <t>Je kunt het gehele financieel plan in één keer printen door linksbovenin op 'Bestand' te klikken.</t>
  </si>
  <si>
    <t>Bedrag aflossing</t>
  </si>
  <si>
    <t>Redemption amount per month</t>
  </si>
  <si>
    <t>Bedrag rente en aflossing</t>
  </si>
  <si>
    <t>Afdracht inkomstenbelasting</t>
  </si>
  <si>
    <t>Tax (income)</t>
  </si>
  <si>
    <t>Vennootschapsbelasting</t>
  </si>
  <si>
    <t>Corporate income tax</t>
  </si>
  <si>
    <t>Leningen (familie/vrienden)</t>
  </si>
  <si>
    <t xml:space="preserve"> Eigen inbreng (leningen familie/vrienden)</t>
  </si>
  <si>
    <t xml:space="preserve"> Own contribution (savings)</t>
  </si>
  <si>
    <t xml:space="preserve"> Own contribution (loans family/friends)</t>
  </si>
  <si>
    <t>Product 3</t>
  </si>
  <si>
    <t>Als je meer dan drie producten verkoopt, probeer deze in drie groepen in te delen</t>
  </si>
  <si>
    <t>If you resell more than three products, try categorizing these into three groups</t>
  </si>
  <si>
    <t>Maand 13</t>
  </si>
  <si>
    <t>Maand 14</t>
  </si>
  <si>
    <t>Maand 15</t>
  </si>
  <si>
    <t>Maand 16</t>
  </si>
  <si>
    <t>Maand 17</t>
  </si>
  <si>
    <t>Maand 18</t>
  </si>
  <si>
    <t>Maand 19</t>
  </si>
  <si>
    <t>Maand 20</t>
  </si>
  <si>
    <t>Maand 21</t>
  </si>
  <si>
    <t>Maand 22</t>
  </si>
  <si>
    <t>Maand 23</t>
  </si>
  <si>
    <t>Maand 24</t>
  </si>
  <si>
    <t>Maand 25</t>
  </si>
  <si>
    <t>Maand 26</t>
  </si>
  <si>
    <t>Maand 27</t>
  </si>
  <si>
    <t>Maand 28</t>
  </si>
  <si>
    <t>Maand 29</t>
  </si>
  <si>
    <t>Maand 30</t>
  </si>
  <si>
    <t>Maand 31</t>
  </si>
  <si>
    <t>Maand 32</t>
  </si>
  <si>
    <t>Maand 33</t>
  </si>
  <si>
    <t>Maand 34</t>
  </si>
  <si>
    <t>Maand 35</t>
  </si>
  <si>
    <t>Maand 36</t>
  </si>
  <si>
    <t>Month 13</t>
  </si>
  <si>
    <t>Month 14</t>
  </si>
  <si>
    <t>Month 15</t>
  </si>
  <si>
    <t>Month 16</t>
  </si>
  <si>
    <t>Month 17</t>
  </si>
  <si>
    <t>Month 18</t>
  </si>
  <si>
    <t>Month 19</t>
  </si>
  <si>
    <t>Month 20</t>
  </si>
  <si>
    <t>Month 21</t>
  </si>
  <si>
    <t>Month 22</t>
  </si>
  <si>
    <t>Month 23</t>
  </si>
  <si>
    <t>Month 24</t>
  </si>
  <si>
    <t>Month 25</t>
  </si>
  <si>
    <t>Month 26</t>
  </si>
  <si>
    <t>Month 27</t>
  </si>
  <si>
    <t>Month 28</t>
  </si>
  <si>
    <t>Month 29</t>
  </si>
  <si>
    <t>Month 30</t>
  </si>
  <si>
    <t>Month 31</t>
  </si>
  <si>
    <t>Month 32</t>
  </si>
  <si>
    <t>Month 33</t>
  </si>
  <si>
    <t>Month 34</t>
  </si>
  <si>
    <t>Month 35</t>
  </si>
  <si>
    <t>Month 36</t>
  </si>
  <si>
    <t>Startvoorraad product 3</t>
  </si>
  <si>
    <t>Start-up stock product 3</t>
  </si>
  <si>
    <t xml:space="preserve"> Omzet product 3 (excl. btw)</t>
  </si>
  <si>
    <t xml:space="preserve"> Turnover product 3, excluding BTW</t>
  </si>
  <si>
    <t xml:space="preserve"> Inkoop product 3</t>
  </si>
  <si>
    <t xml:space="preserve"> Purchasing product 3</t>
  </si>
  <si>
    <t>Netto-omzet product 3</t>
  </si>
  <si>
    <t>Net turnover product 3</t>
  </si>
  <si>
    <t>Jaar 1</t>
  </si>
  <si>
    <t>Year 1</t>
  </si>
  <si>
    <t>Jaar 2</t>
  </si>
  <si>
    <t>Year 2</t>
  </si>
  <si>
    <t>Year 3</t>
  </si>
  <si>
    <t>Jaar 3</t>
  </si>
  <si>
    <t>Versie 02012025</t>
  </si>
  <si>
    <t>Privébegroting</t>
  </si>
  <si>
    <t>Totaal uitgaven</t>
  </si>
  <si>
    <t>Salaris</t>
  </si>
  <si>
    <t>Inkomen partner</t>
  </si>
  <si>
    <t>Toeslagen</t>
  </si>
  <si>
    <t>Totale inkomsten</t>
  </si>
  <si>
    <t>Dit geld heb je elke maand nodig uit je bedrijf om van te leven</t>
  </si>
  <si>
    <t>Vermogen</t>
  </si>
  <si>
    <t>Andere spullen die veel geld waard zijn</t>
  </si>
  <si>
    <t>Totaal vermogen</t>
  </si>
  <si>
    <t>Schulden</t>
  </si>
  <si>
    <t>Hypotheek</t>
  </si>
  <si>
    <t>Totale schulden</t>
  </si>
  <si>
    <t>Per maand</t>
  </si>
  <si>
    <t>Per jaar</t>
  </si>
  <si>
    <t xml:space="preserve">Privébegroting </t>
  </si>
  <si>
    <t>Huur/aflossing woning</t>
  </si>
  <si>
    <t>Overige uitgaven</t>
  </si>
  <si>
    <t>WOZ-waarde koopwoning</t>
  </si>
  <si>
    <t>Overig vermogen</t>
  </si>
  <si>
    <t>Overige schulden</t>
  </si>
  <si>
    <t xml:space="preserve">    Privébegroting</t>
  </si>
  <si>
    <t xml:space="preserve">    Personal budget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</si>
</sst>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5" formatCode="&quot;€&quot;\ #,##0;&quot;€&quot;\ \-#,##0"/>
    <numFmt numFmtId="8" formatCode="&quot;€&quot;\ #,##0.00;[Red]&quot;€&quot;\ \-#,##0.00"/>
    <numFmt numFmtId="44" formatCode="_ &quot;€&quot;\ * #,##0.00_ ;_ &quot;€&quot;\ * \-#,##0.00_ ;_ &quot;€&quot;\ * &quot;-&quot;??_ ;_ @_ "/>
    <numFmt numFmtId="164" formatCode="&quot; € &quot;#,##0.00\ ;&quot; € &quot;#,##0.00\-;&quot; € -&quot;#\ ;@\ "/>
    <numFmt numFmtId="165" formatCode="#,##0.0"/>
    <numFmt numFmtId="166" formatCode="&quot;€ &quot;#,##0"/>
    <numFmt numFmtId="167" formatCode="&quot;€ &quot;#,##0;&quot;€ -&quot;#,##0"/>
    <numFmt numFmtId="168" formatCode="&quot;€ &quot;#,##0\ "/>
    <numFmt numFmtId="169" formatCode="&quot;€ &quot;#,##0.00\ ;&quot;€ &quot;#,##0.00\-"/>
    <numFmt numFmtId="170" formatCode="&quot; € &quot;#,##0\ ;&quot; € &quot;#,##0\-;&quot; € - &quot;;@\ "/>
    <numFmt numFmtId="171" formatCode="&quot;€ &quot;#,##0.00\ "/>
    <numFmt numFmtId="172" formatCode="&quot;€ &quot;#,##0\ ;&quot;€ &quot;#,##0\-"/>
    <numFmt numFmtId="173" formatCode="#,##0.00_ ;\-#,##0.00\ "/>
    <numFmt numFmtId="174" formatCode="&quot;€&quot;\ #,##0.00"/>
    <numFmt numFmtId="175" formatCode="&quot;€&quot;\ #,##0"/>
    <numFmt numFmtId="176" formatCode="#,##0_ ;[Red]\-#,##0\ "/>
    <numFmt numFmtId="177" formatCode="#,##0.000000_ ;[Red]\-#,##0.000000\ "/>
    <numFmt numFmtId="178" formatCode="0.00000%"/>
    <numFmt numFmtId="179" formatCode="&quot;€&quot;\ #,##0.00000;[Red]&quot;€&quot;\ \-#,##0.00000"/>
    <numFmt numFmtId="180" formatCode="0.0%"/>
    <numFmt numFmtId="181" formatCode="0.00000000%"/>
    <numFmt numFmtId="182" formatCode="_ &quot;€&quot;\ * #,##0_ ;_ &quot;€&quot;\ * \-#,##0_ ;_ &quot;€&quot;\ * &quot;-&quot;??_ ;_ @_ "/>
  </numFmts>
  <fonts count="102" x14ac:knownFonts="1">
    <font>
      <sz val="10"/>
      <name val="Arial"/>
      <family val="2"/>
    </font>
    <font>
      <sz val="10"/>
      <name val="Mangal"/>
      <family val="2"/>
    </font>
    <font>
      <u/>
      <sz val="10"/>
      <color indexed="12"/>
      <name val="Arial"/>
      <family val="2"/>
    </font>
    <font>
      <sz val="11"/>
      <name val="Calibri"/>
      <family val="2"/>
    </font>
    <font>
      <b/>
      <sz val="30"/>
      <color indexed="53"/>
      <name val="Calibri"/>
      <family val="2"/>
    </font>
    <font>
      <sz val="11"/>
      <color indexed="62"/>
      <name val="Calibri"/>
      <family val="2"/>
    </font>
    <font>
      <b/>
      <sz val="11"/>
      <color indexed="62"/>
      <name val="Calibri"/>
      <family val="2"/>
    </font>
    <font>
      <sz val="20"/>
      <color indexed="53"/>
      <name val="Calibri"/>
      <family val="2"/>
    </font>
    <font>
      <b/>
      <sz val="11"/>
      <color indexed="29"/>
      <name val="Calibri"/>
      <family val="2"/>
    </font>
    <font>
      <i/>
      <sz val="11"/>
      <color indexed="62"/>
      <name val="Calibri"/>
      <family val="2"/>
    </font>
    <font>
      <u/>
      <sz val="16"/>
      <color indexed="12"/>
      <name val="Calibri"/>
      <family val="2"/>
    </font>
    <font>
      <i/>
      <sz val="9"/>
      <color indexed="62"/>
      <name val="Calibri"/>
      <family val="2"/>
    </font>
    <font>
      <b/>
      <sz val="26"/>
      <color indexed="53"/>
      <name val="Calibri"/>
      <family val="2"/>
    </font>
    <font>
      <b/>
      <sz val="11"/>
      <name val="Calibri"/>
      <family val="2"/>
    </font>
    <font>
      <sz val="11"/>
      <color indexed="9"/>
      <name val="Calibri"/>
      <family val="2"/>
    </font>
    <font>
      <sz val="11"/>
      <color indexed="8"/>
      <name val="Calibri"/>
      <family val="2"/>
    </font>
    <font>
      <b/>
      <sz val="11"/>
      <color indexed="53"/>
      <name val="Calibri"/>
      <family val="2"/>
    </font>
    <font>
      <b/>
      <sz val="36"/>
      <color indexed="53"/>
      <name val="Calibri"/>
      <family val="2"/>
    </font>
    <font>
      <sz val="10"/>
      <color indexed="9"/>
      <name val="Arial"/>
      <family val="2"/>
    </font>
    <font>
      <b/>
      <sz val="36"/>
      <color indexed="9"/>
      <name val="Calibri"/>
      <family val="2"/>
    </font>
    <font>
      <i/>
      <sz val="10"/>
      <color indexed="62"/>
      <name val="Calibri"/>
      <family val="2"/>
    </font>
    <font>
      <b/>
      <sz val="11"/>
      <color indexed="8"/>
      <name val="Calibri"/>
      <family val="2"/>
    </font>
    <font>
      <sz val="10"/>
      <color indexed="9"/>
      <name val="Calibri"/>
      <family val="2"/>
    </font>
    <font>
      <sz val="10"/>
      <color indexed="8"/>
      <name val="Calibri"/>
      <family val="2"/>
    </font>
    <font>
      <b/>
      <sz val="10"/>
      <color indexed="9"/>
      <name val="Calibri"/>
      <family val="2"/>
    </font>
    <font>
      <sz val="10"/>
      <name val="Calibri"/>
      <family val="2"/>
    </font>
    <font>
      <sz val="10"/>
      <name val="Arial"/>
      <family val="2"/>
    </font>
    <font>
      <sz val="11"/>
      <color theme="0"/>
      <name val="Calibri"/>
      <family val="2"/>
      <scheme val="minor"/>
    </font>
    <font>
      <b/>
      <sz val="11"/>
      <color theme="0"/>
      <name val="Calibri"/>
      <family val="2"/>
      <scheme val="minor"/>
    </font>
    <font>
      <b/>
      <sz val="11"/>
      <color rgb="FFFF6600"/>
      <name val="Calibri"/>
      <family val="2"/>
    </font>
    <font>
      <b/>
      <sz val="11"/>
      <color rgb="FF232572"/>
      <name val="Calibri"/>
      <family val="2"/>
    </font>
    <font>
      <sz val="20"/>
      <color rgb="FFFF6600"/>
      <name val="Calibri"/>
      <family val="2"/>
      <scheme val="minor"/>
    </font>
    <font>
      <sz val="11"/>
      <color rgb="FF232572"/>
      <name val="Calibri"/>
      <family val="2"/>
      <scheme val="minor"/>
    </font>
    <font>
      <sz val="11"/>
      <color rgb="FF232572"/>
      <name val="Calibri"/>
      <family val="2"/>
    </font>
    <font>
      <sz val="11"/>
      <color rgb="FFFF6600"/>
      <name val="Calibri"/>
      <family val="2"/>
      <scheme val="minor"/>
    </font>
    <font>
      <b/>
      <sz val="11"/>
      <color rgb="FF232572"/>
      <name val="Calibri"/>
      <family val="2"/>
      <scheme val="minor"/>
    </font>
    <font>
      <sz val="11"/>
      <name val="Calibri"/>
      <family val="2"/>
      <scheme val="minor"/>
    </font>
    <font>
      <b/>
      <u/>
      <sz val="11"/>
      <color theme="0"/>
      <name val="Calibri"/>
      <family val="2"/>
      <scheme val="minor"/>
    </font>
    <font>
      <b/>
      <sz val="18"/>
      <color rgb="FFFF6600"/>
      <name val="Calibri"/>
      <family val="2"/>
      <scheme val="minor"/>
    </font>
    <font>
      <sz val="10"/>
      <name val="Calibri"/>
      <family val="2"/>
      <scheme val="minor"/>
    </font>
    <font>
      <sz val="10"/>
      <color rgb="FF232572"/>
      <name val="Calibri"/>
      <family val="2"/>
      <scheme val="minor"/>
    </font>
    <font>
      <b/>
      <sz val="10"/>
      <color rgb="FF232572"/>
      <name val="Calibri"/>
      <family val="2"/>
      <scheme val="minor"/>
    </font>
    <font>
      <b/>
      <sz val="10"/>
      <color rgb="FFFF6600"/>
      <name val="Calibri"/>
      <family val="2"/>
      <scheme val="minor"/>
    </font>
    <font>
      <b/>
      <sz val="10"/>
      <color theme="0"/>
      <name val="Calibri"/>
      <family val="2"/>
      <scheme val="minor"/>
    </font>
    <font>
      <i/>
      <sz val="10"/>
      <color rgb="FFFF6600"/>
      <name val="Calibri"/>
      <family val="2"/>
    </font>
    <font>
      <b/>
      <sz val="15"/>
      <color indexed="53"/>
      <name val="Calibri"/>
      <family val="2"/>
    </font>
    <font>
      <sz val="11"/>
      <color theme="1"/>
      <name val="Calibri"/>
      <family val="2"/>
    </font>
    <font>
      <sz val="10"/>
      <color rgb="FF7030A0"/>
      <name val="Arial"/>
      <family val="2"/>
    </font>
    <font>
      <sz val="10"/>
      <color rgb="FFFF0000"/>
      <name val="Arial"/>
      <family val="2"/>
    </font>
    <font>
      <b/>
      <sz val="10"/>
      <name val="Calibri"/>
      <family val="2"/>
    </font>
    <font>
      <i/>
      <sz val="10"/>
      <name val="Calibri"/>
      <family val="2"/>
    </font>
    <font>
      <sz val="10"/>
      <color theme="1"/>
      <name val="Arial"/>
      <family val="2"/>
    </font>
    <font>
      <i/>
      <sz val="9"/>
      <color indexed="62"/>
      <name val="Arial"/>
      <family val="2"/>
    </font>
    <font>
      <b/>
      <sz val="26"/>
      <color indexed="53"/>
      <name val="Arial"/>
      <family val="2"/>
    </font>
    <font>
      <b/>
      <sz val="10"/>
      <color indexed="62"/>
      <name val="Arial"/>
      <family val="2"/>
    </font>
    <font>
      <b/>
      <sz val="9"/>
      <color indexed="62"/>
      <name val="Arial"/>
      <family val="2"/>
    </font>
    <font>
      <sz val="18"/>
      <color rgb="FFFF6600"/>
      <name val="Arial"/>
      <family val="2"/>
    </font>
    <font>
      <b/>
      <sz val="12"/>
      <color rgb="FF232572"/>
      <name val="Arial"/>
      <family val="2"/>
    </font>
    <font>
      <sz val="10"/>
      <color rgb="FF232572"/>
      <name val="Arial"/>
      <family val="2"/>
    </font>
    <font>
      <sz val="18"/>
      <color indexed="53"/>
      <name val="Arial"/>
      <family val="2"/>
    </font>
    <font>
      <sz val="10"/>
      <color indexed="62"/>
      <name val="Arial"/>
      <family val="2"/>
    </font>
    <font>
      <b/>
      <u/>
      <sz val="12"/>
      <color rgb="FFFF6600"/>
      <name val="Arial"/>
      <family val="2"/>
    </font>
    <font>
      <i/>
      <sz val="8"/>
      <color indexed="62"/>
      <name val="Arial"/>
      <family val="2"/>
    </font>
    <font>
      <b/>
      <sz val="26"/>
      <color rgb="FFFF6600"/>
      <name val="Arial"/>
      <family val="2"/>
    </font>
    <font>
      <b/>
      <sz val="10"/>
      <color rgb="FFFF6600"/>
      <name val="Arial"/>
      <family val="2"/>
    </font>
    <font>
      <sz val="9"/>
      <name val="Arial"/>
      <family val="2"/>
    </font>
    <font>
      <sz val="9"/>
      <color indexed="62"/>
      <name val="Arial"/>
      <family val="2"/>
    </font>
    <font>
      <b/>
      <sz val="9"/>
      <color indexed="53"/>
      <name val="Arial"/>
      <family val="2"/>
    </font>
    <font>
      <sz val="9"/>
      <color indexed="8"/>
      <name val="Arial"/>
      <family val="2"/>
    </font>
    <font>
      <i/>
      <sz val="10"/>
      <color indexed="62"/>
      <name val="Arial"/>
      <family val="2"/>
    </font>
    <font>
      <b/>
      <sz val="10"/>
      <color indexed="53"/>
      <name val="Arial"/>
      <family val="2"/>
    </font>
    <font>
      <sz val="10"/>
      <color indexed="8"/>
      <name val="Arial"/>
      <family val="2"/>
    </font>
    <font>
      <b/>
      <u/>
      <sz val="10"/>
      <color rgb="FF666666"/>
      <name val="Arial"/>
      <family val="2"/>
    </font>
    <font>
      <b/>
      <sz val="10"/>
      <color indexed="10"/>
      <name val="Arial"/>
      <family val="2"/>
    </font>
    <font>
      <b/>
      <sz val="9"/>
      <color indexed="10"/>
      <name val="Arial"/>
      <family val="2"/>
    </font>
    <font>
      <i/>
      <sz val="9"/>
      <color rgb="FFFF6600"/>
      <name val="Arial"/>
      <family val="2"/>
    </font>
    <font>
      <sz val="9"/>
      <color theme="0"/>
      <name val="Arial"/>
      <family val="2"/>
    </font>
    <font>
      <sz val="9"/>
      <color rgb="FFFF0000"/>
      <name val="Arial"/>
      <family val="2"/>
    </font>
    <font>
      <b/>
      <sz val="9"/>
      <color indexed="8"/>
      <name val="Arial"/>
      <family val="2"/>
    </font>
    <font>
      <b/>
      <u/>
      <sz val="9"/>
      <color rgb="FF666666"/>
      <name val="Arial"/>
      <family val="2"/>
    </font>
    <font>
      <b/>
      <sz val="10"/>
      <color rgb="FF232572"/>
      <name val="Arial"/>
      <family val="2"/>
    </font>
    <font>
      <b/>
      <i/>
      <sz val="10"/>
      <color indexed="62"/>
      <name val="Arial"/>
      <family val="2"/>
    </font>
    <font>
      <sz val="10"/>
      <color indexed="53"/>
      <name val="Arial"/>
      <family val="2"/>
    </font>
    <font>
      <b/>
      <sz val="10"/>
      <name val="Arial"/>
      <family val="2"/>
    </font>
    <font>
      <sz val="10"/>
      <color rgb="FF444444"/>
      <name val="Arial"/>
      <family val="2"/>
    </font>
    <font>
      <sz val="10"/>
      <color indexed="56"/>
      <name val="Arial"/>
      <family val="2"/>
    </font>
    <font>
      <b/>
      <sz val="10"/>
      <color indexed="56"/>
      <name val="Arial"/>
      <family val="2"/>
    </font>
    <font>
      <b/>
      <sz val="10"/>
      <color indexed="9"/>
      <name val="Arial"/>
      <family val="2"/>
    </font>
    <font>
      <i/>
      <sz val="10"/>
      <name val="Arial"/>
      <family val="2"/>
    </font>
    <font>
      <b/>
      <sz val="10"/>
      <color theme="1"/>
      <name val="Arial"/>
      <family val="2"/>
    </font>
    <font>
      <u/>
      <sz val="10"/>
      <color theme="1"/>
      <name val="Arial"/>
      <family val="2"/>
    </font>
    <font>
      <sz val="8"/>
      <color theme="1"/>
      <name val="Arial"/>
      <family val="2"/>
    </font>
    <font>
      <sz val="8"/>
      <name val="Arial"/>
      <family val="2"/>
    </font>
    <font>
      <b/>
      <sz val="18"/>
      <color indexed="53"/>
      <name val="Arial"/>
      <family val="2"/>
    </font>
    <font>
      <b/>
      <sz val="30"/>
      <color indexed="53"/>
      <name val="Arial"/>
      <family val="2"/>
    </font>
    <font>
      <sz val="11"/>
      <color indexed="8"/>
      <name val="Arial"/>
      <family val="2"/>
    </font>
    <font>
      <sz val="11"/>
      <name val="Arial"/>
      <family val="2"/>
    </font>
    <font>
      <b/>
      <sz val="11"/>
      <color indexed="53"/>
      <name val="Arial"/>
      <family val="2"/>
    </font>
    <font>
      <b/>
      <u/>
      <sz val="11"/>
      <color rgb="FF666666"/>
      <name val="Arial"/>
      <family val="2"/>
    </font>
    <font>
      <b/>
      <sz val="11"/>
      <color rgb="FFFF6600"/>
      <name val="Arial"/>
      <family val="2"/>
    </font>
    <font>
      <sz val="11"/>
      <color indexed="62"/>
      <name val="Arial"/>
      <family val="2"/>
    </font>
    <font>
      <b/>
      <sz val="11"/>
      <color indexed="62"/>
      <name val="Arial"/>
      <family val="2"/>
    </font>
  </fonts>
  <fills count="27">
    <fill>
      <patternFill patternType="none"/>
    </fill>
    <fill>
      <patternFill patternType="gray125"/>
    </fill>
    <fill>
      <patternFill patternType="solid">
        <fgColor indexed="9"/>
        <bgColor indexed="26"/>
      </patternFill>
    </fill>
    <fill>
      <patternFill patternType="solid">
        <fgColor indexed="27"/>
        <bgColor indexed="42"/>
      </patternFill>
    </fill>
    <fill>
      <patternFill patternType="solid">
        <fgColor indexed="26"/>
        <bgColor indexed="27"/>
      </patternFill>
    </fill>
    <fill>
      <patternFill patternType="solid">
        <fgColor indexed="44"/>
        <bgColor indexed="31"/>
      </patternFill>
    </fill>
    <fill>
      <patternFill patternType="solid">
        <fgColor theme="4" tint="0.79998168889431442"/>
        <bgColor indexed="27"/>
      </patternFill>
    </fill>
    <fill>
      <patternFill patternType="solid">
        <fgColor theme="0" tint="-0.14999847407452621"/>
        <bgColor indexed="44"/>
      </patternFill>
    </fill>
    <fill>
      <patternFill patternType="solid">
        <fgColor rgb="FF666666"/>
        <bgColor indexed="23"/>
      </patternFill>
    </fill>
    <fill>
      <patternFill patternType="solid">
        <fgColor rgb="FF666666"/>
        <bgColor indexed="26"/>
      </patternFill>
    </fill>
    <fill>
      <patternFill patternType="solid">
        <fgColor rgb="FF666666"/>
        <bgColor indexed="64"/>
      </patternFill>
    </fill>
    <fill>
      <patternFill patternType="solid">
        <fgColor theme="0" tint="-0.14999847407452621"/>
        <bgColor indexed="31"/>
      </patternFill>
    </fill>
    <fill>
      <patternFill patternType="solid">
        <fgColor theme="0" tint="-0.14999847407452621"/>
        <bgColor indexed="42"/>
      </patternFill>
    </fill>
    <fill>
      <patternFill patternType="solid">
        <fgColor theme="0"/>
        <bgColor indexed="31"/>
      </patternFill>
    </fill>
    <fill>
      <patternFill patternType="solid">
        <fgColor theme="0"/>
        <bgColor indexed="42"/>
      </patternFill>
    </fill>
    <fill>
      <patternFill patternType="solid">
        <fgColor theme="0"/>
        <bgColor indexed="26"/>
      </patternFill>
    </fill>
    <fill>
      <patternFill patternType="solid">
        <fgColor theme="0" tint="-0.14999847407452621"/>
        <bgColor indexed="26"/>
      </patternFill>
    </fill>
    <fill>
      <patternFill patternType="solid">
        <fgColor theme="0"/>
        <bgColor indexed="62"/>
      </patternFill>
    </fill>
    <fill>
      <patternFill patternType="solid">
        <fgColor theme="0"/>
        <bgColor indexed="64"/>
      </patternFill>
    </fill>
    <fill>
      <patternFill patternType="solid">
        <fgColor rgb="FF23257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bgColor indexed="56"/>
      </patternFill>
    </fill>
    <fill>
      <patternFill patternType="solid">
        <fgColor rgb="FF7030A0"/>
        <bgColor indexed="64"/>
      </patternFill>
    </fill>
    <fill>
      <patternFill patternType="solid">
        <fgColor theme="0" tint="-0.14999847407452621"/>
        <bgColor indexed="27"/>
      </patternFill>
    </fill>
    <fill>
      <patternFill patternType="solid">
        <fgColor theme="0"/>
        <bgColor indexed="27"/>
      </patternFill>
    </fill>
    <fill>
      <patternFill patternType="solid">
        <fgColor theme="0"/>
        <bgColor indexed="44"/>
      </patternFill>
    </fill>
  </fills>
  <borders count="33">
    <border>
      <left/>
      <right/>
      <top/>
      <bottom/>
      <diagonal/>
    </border>
    <border>
      <left style="double">
        <color indexed="54"/>
      </left>
      <right style="double">
        <color indexed="54"/>
      </right>
      <top style="double">
        <color indexed="54"/>
      </top>
      <bottom style="double">
        <color indexed="54"/>
      </bottom>
      <diagonal/>
    </border>
    <border>
      <left/>
      <right/>
      <top/>
      <bottom style="thin">
        <color indexed="54"/>
      </bottom>
      <diagonal/>
    </border>
    <border>
      <left/>
      <right/>
      <top style="thin">
        <color indexed="54"/>
      </top>
      <bottom/>
      <diagonal/>
    </border>
    <border>
      <left/>
      <right/>
      <top style="thin">
        <color indexed="55"/>
      </top>
      <bottom/>
      <diagonal/>
    </border>
    <border>
      <left style="thin">
        <color indexed="64"/>
      </left>
      <right style="thin">
        <color indexed="64"/>
      </right>
      <top style="thin">
        <color indexed="64"/>
      </top>
      <bottom style="thin">
        <color indexed="64"/>
      </bottom>
      <diagonal/>
    </border>
    <border>
      <left style="double">
        <color theme="0" tint="-0.34998626667073579"/>
      </left>
      <right/>
      <top/>
      <bottom/>
      <diagonal/>
    </border>
    <border>
      <left style="double">
        <color theme="0" tint="-0.34998626667073579"/>
      </left>
      <right style="double">
        <color theme="0" tint="-0.34998626667073579"/>
      </right>
      <top/>
      <bottom/>
      <diagonal/>
    </border>
    <border>
      <left style="double">
        <color rgb="FF666666"/>
      </left>
      <right style="thin">
        <color rgb="FF666666"/>
      </right>
      <top style="double">
        <color rgb="FF666666"/>
      </top>
      <bottom style="thin">
        <color rgb="FF666666"/>
      </bottom>
      <diagonal/>
    </border>
    <border>
      <left style="thin">
        <color rgb="FF666666"/>
      </left>
      <right style="thin">
        <color rgb="FF666666"/>
      </right>
      <top style="double">
        <color rgb="FF666666"/>
      </top>
      <bottom style="thin">
        <color rgb="FF666666"/>
      </bottom>
      <diagonal/>
    </border>
    <border>
      <left style="thin">
        <color rgb="FF666666"/>
      </left>
      <right style="double">
        <color rgb="FF666666"/>
      </right>
      <top style="double">
        <color rgb="FF666666"/>
      </top>
      <bottom style="thin">
        <color rgb="FF666666"/>
      </bottom>
      <diagonal/>
    </border>
    <border>
      <left style="double">
        <color rgb="FF666666"/>
      </left>
      <right style="thin">
        <color rgb="FF666666"/>
      </right>
      <top style="thin">
        <color rgb="FF666666"/>
      </top>
      <bottom style="thin">
        <color rgb="FF666666"/>
      </bottom>
      <diagonal/>
    </border>
    <border>
      <left style="thin">
        <color rgb="FF666666"/>
      </left>
      <right style="thin">
        <color rgb="FF666666"/>
      </right>
      <top style="thin">
        <color rgb="FF666666"/>
      </top>
      <bottom style="thin">
        <color rgb="FF666666"/>
      </bottom>
      <diagonal/>
    </border>
    <border>
      <left style="thin">
        <color rgb="FF666666"/>
      </left>
      <right style="double">
        <color rgb="FF666666"/>
      </right>
      <top style="thin">
        <color rgb="FF666666"/>
      </top>
      <bottom style="thin">
        <color rgb="FF666666"/>
      </bottom>
      <diagonal/>
    </border>
    <border>
      <left style="double">
        <color rgb="FF666666"/>
      </left>
      <right style="thin">
        <color rgb="FF666666"/>
      </right>
      <top style="thin">
        <color rgb="FF666666"/>
      </top>
      <bottom style="double">
        <color rgb="FF666666"/>
      </bottom>
      <diagonal/>
    </border>
    <border>
      <left style="thin">
        <color rgb="FF666666"/>
      </left>
      <right style="thin">
        <color rgb="FF666666"/>
      </right>
      <top style="thin">
        <color rgb="FF666666"/>
      </top>
      <bottom style="double">
        <color rgb="FF666666"/>
      </bottom>
      <diagonal/>
    </border>
    <border>
      <left style="thin">
        <color rgb="FF666666"/>
      </left>
      <right style="double">
        <color rgb="FF666666"/>
      </right>
      <top style="thin">
        <color rgb="FF666666"/>
      </top>
      <bottom style="double">
        <color rgb="FF666666"/>
      </bottom>
      <diagonal/>
    </border>
    <border>
      <left style="double">
        <color rgb="FF666666"/>
      </left>
      <right style="thin">
        <color rgb="FF666666"/>
      </right>
      <top style="thin">
        <color rgb="FF666666"/>
      </top>
      <bottom/>
      <diagonal/>
    </border>
    <border>
      <left style="thin">
        <color rgb="FF666666"/>
      </left>
      <right style="thin">
        <color rgb="FF666666"/>
      </right>
      <top style="thin">
        <color rgb="FF666666"/>
      </top>
      <bottom/>
      <diagonal/>
    </border>
    <border>
      <left style="thin">
        <color rgb="FF666666"/>
      </left>
      <right style="thin">
        <color rgb="FF666666"/>
      </right>
      <top/>
      <bottom style="double">
        <color rgb="FF666666"/>
      </bottom>
      <diagonal/>
    </border>
    <border>
      <left/>
      <right/>
      <top/>
      <bottom style="thin">
        <color rgb="FFC5C6ED"/>
      </bottom>
      <diagonal/>
    </border>
    <border>
      <left/>
      <right style="thin">
        <color theme="0"/>
      </right>
      <top/>
      <bottom style="thin">
        <color rgb="FFC5C6ED"/>
      </bottom>
      <diagonal/>
    </border>
    <border>
      <left style="thin">
        <color theme="0"/>
      </left>
      <right style="thin">
        <color theme="0"/>
      </right>
      <top/>
      <bottom style="thin">
        <color rgb="FFC5C6ED"/>
      </bottom>
      <diagonal/>
    </border>
    <border>
      <left style="thin">
        <color theme="0"/>
      </left>
      <right/>
      <top/>
      <bottom style="thin">
        <color rgb="FFC5C6ED"/>
      </bottom>
      <diagonal/>
    </border>
    <border>
      <left/>
      <right style="thin">
        <color theme="0"/>
      </right>
      <top style="thin">
        <color rgb="FFC5C6ED"/>
      </top>
      <bottom style="thin">
        <color rgb="FFC5C6ED"/>
      </bottom>
      <diagonal/>
    </border>
    <border>
      <left style="thin">
        <color theme="0"/>
      </left>
      <right style="thin">
        <color theme="0"/>
      </right>
      <top style="thin">
        <color rgb="FFC5C6ED"/>
      </top>
      <bottom style="thin">
        <color rgb="FFC5C6ED"/>
      </bottom>
      <diagonal/>
    </border>
    <border>
      <left style="thin">
        <color theme="0"/>
      </left>
      <right/>
      <top style="thin">
        <color rgb="FFC5C6ED"/>
      </top>
      <bottom style="thin">
        <color rgb="FFC5C6ED"/>
      </bottom>
      <diagonal/>
    </border>
    <border>
      <left/>
      <right/>
      <top style="thin">
        <color rgb="FFC5C6ED"/>
      </top>
      <bottom style="thin">
        <color rgb="FFC5C6ED"/>
      </bottom>
      <diagonal/>
    </border>
    <border>
      <left/>
      <right style="double">
        <color indexed="54"/>
      </right>
      <top style="double">
        <color indexed="54"/>
      </top>
      <bottom style="double">
        <color indexed="54"/>
      </bottom>
      <diagonal/>
    </border>
    <border>
      <left/>
      <right/>
      <top/>
      <bottom style="thin">
        <color indexed="64"/>
      </bottom>
      <diagonal/>
    </border>
    <border>
      <left/>
      <right/>
      <top style="thin">
        <color rgb="FFC5C6ED"/>
      </top>
      <bottom style="medium">
        <color rgb="FF232572"/>
      </bottom>
      <diagonal/>
    </border>
    <border>
      <left/>
      <right style="thin">
        <color theme="0"/>
      </right>
      <top style="thin">
        <color rgb="FFC5C6ED"/>
      </top>
      <bottom style="medium">
        <color rgb="FF232572"/>
      </bottom>
      <diagonal/>
    </border>
    <border>
      <left/>
      <right/>
      <top style="medium">
        <color rgb="FF232572"/>
      </top>
      <bottom style="thin">
        <color rgb="FFC5C6ED"/>
      </bottom>
      <diagonal/>
    </border>
  </borders>
  <cellStyleXfs count="13">
    <xf numFmtId="0" fontId="0" fillId="0" borderId="0"/>
    <xf numFmtId="0" fontId="1" fillId="0" borderId="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9" fontId="1" fillId="0" borderId="0" applyFill="0" applyBorder="0" applyAlignment="0" applyProtection="0"/>
    <xf numFmtId="9" fontId="1" fillId="0" borderId="0" applyFill="0" applyBorder="0" applyAlignment="0" applyProtection="0"/>
    <xf numFmtId="0" fontId="26" fillId="0" borderId="0"/>
    <xf numFmtId="0" fontId="26" fillId="0" borderId="0"/>
    <xf numFmtId="164" fontId="1" fillId="0" borderId="0" applyFill="0" applyBorder="0" applyAlignment="0" applyProtection="0"/>
    <xf numFmtId="0" fontId="46" fillId="0" borderId="0"/>
    <xf numFmtId="9" fontId="26" fillId="0" borderId="0" applyFont="0" applyFill="0" applyBorder="0" applyAlignment="0" applyProtection="0"/>
    <xf numFmtId="44" fontId="26" fillId="0" borderId="0" applyFont="0" applyFill="0" applyBorder="0" applyAlignment="0" applyProtection="0"/>
  </cellStyleXfs>
  <cellXfs count="486">
    <xf numFmtId="0" fontId="0" fillId="0" borderId="0" xfId="0"/>
    <xf numFmtId="0" fontId="3" fillId="2" borderId="0" xfId="7" applyFont="1" applyFill="1" applyAlignment="1">
      <alignment vertical="center"/>
    </xf>
    <xf numFmtId="0" fontId="4" fillId="2" borderId="0" xfId="7" applyFont="1" applyFill="1" applyAlignment="1">
      <alignment vertical="center"/>
    </xf>
    <xf numFmtId="0" fontId="3" fillId="2" borderId="0" xfId="7" applyFont="1" applyFill="1"/>
    <xf numFmtId="0" fontId="6" fillId="2" borderId="0" xfId="7" applyFont="1" applyFill="1" applyAlignment="1">
      <alignment vertical="center"/>
    </xf>
    <xf numFmtId="0" fontId="7" fillId="2" borderId="0" xfId="7" applyFont="1" applyFill="1" applyAlignment="1">
      <alignment vertical="center"/>
    </xf>
    <xf numFmtId="0" fontId="5" fillId="2" borderId="0" xfId="7" applyFont="1" applyFill="1" applyAlignment="1">
      <alignment vertical="center" wrapText="1"/>
    </xf>
    <xf numFmtId="0" fontId="6" fillId="2" borderId="0" xfId="3" applyFont="1" applyFill="1" applyAlignment="1">
      <alignment vertical="center" wrapText="1"/>
    </xf>
    <xf numFmtId="0" fontId="1" fillId="2" borderId="0" xfId="3" applyFill="1" applyAlignment="1">
      <alignment vertical="center" wrapText="1"/>
    </xf>
    <xf numFmtId="0" fontId="7" fillId="2" borderId="0" xfId="7" applyFont="1" applyFill="1" applyAlignment="1">
      <alignment vertical="center" wrapText="1"/>
    </xf>
    <xf numFmtId="0" fontId="5" fillId="2" borderId="0" xfId="7" applyFont="1" applyFill="1" applyAlignment="1">
      <alignment vertical="center"/>
    </xf>
    <xf numFmtId="0" fontId="10" fillId="2" borderId="0" xfId="4" applyFont="1" applyFill="1" applyAlignment="1">
      <alignment vertical="center"/>
    </xf>
    <xf numFmtId="0" fontId="11" fillId="2" borderId="0" xfId="7" applyFont="1" applyFill="1" applyAlignment="1">
      <alignment vertical="center" wrapText="1"/>
    </xf>
    <xf numFmtId="0" fontId="11" fillId="2" borderId="0" xfId="7" applyFont="1" applyFill="1" applyAlignment="1">
      <alignment horizontal="center" vertical="center" wrapText="1"/>
    </xf>
    <xf numFmtId="0" fontId="13" fillId="2" borderId="0" xfId="7" applyFont="1" applyFill="1"/>
    <xf numFmtId="0" fontId="5" fillId="2" borderId="0" xfId="7" applyFont="1" applyFill="1"/>
    <xf numFmtId="0" fontId="11" fillId="2" borderId="0" xfId="7" applyFont="1" applyFill="1"/>
    <xf numFmtId="0" fontId="3" fillId="2" borderId="0" xfId="8" applyFont="1" applyFill="1"/>
    <xf numFmtId="0" fontId="15" fillId="2" borderId="0" xfId="7" applyFont="1" applyFill="1"/>
    <xf numFmtId="0" fontId="0" fillId="2" borderId="0" xfId="0" applyFill="1"/>
    <xf numFmtId="0" fontId="0" fillId="2" borderId="0" xfId="0" applyFill="1" applyAlignment="1">
      <alignment wrapText="1"/>
    </xf>
    <xf numFmtId="0" fontId="20" fillId="2" borderId="0" xfId="0" applyFont="1" applyFill="1" applyAlignment="1">
      <alignment horizontal="right"/>
    </xf>
    <xf numFmtId="0" fontId="20" fillId="2" borderId="0" xfId="0" applyFont="1" applyFill="1" applyAlignment="1">
      <alignment horizontal="right" wrapText="1"/>
    </xf>
    <xf numFmtId="0" fontId="3" fillId="2" borderId="0" xfId="0" applyFont="1" applyFill="1" applyAlignment="1">
      <alignment wrapText="1"/>
    </xf>
    <xf numFmtId="0" fontId="3" fillId="2" borderId="0" xfId="0" applyFont="1" applyFill="1"/>
    <xf numFmtId="0" fontId="15" fillId="2" borderId="0" xfId="0" applyFont="1" applyFill="1"/>
    <xf numFmtId="0" fontId="15" fillId="0" borderId="0" xfId="0" applyFont="1"/>
    <xf numFmtId="0" fontId="25" fillId="0" borderId="0" xfId="7" applyFont="1"/>
    <xf numFmtId="0" fontId="19" fillId="8" borderId="0" xfId="7" applyFont="1" applyFill="1" applyAlignment="1">
      <alignment vertical="center"/>
    </xf>
    <xf numFmtId="0" fontId="18" fillId="8" borderId="0" xfId="0" applyFont="1" applyFill="1"/>
    <xf numFmtId="0" fontId="0" fillId="9" borderId="0" xfId="0" applyFill="1"/>
    <xf numFmtId="0" fontId="0" fillId="10" borderId="0" xfId="0" applyFill="1"/>
    <xf numFmtId="0" fontId="14" fillId="8" borderId="0" xfId="0" applyFont="1" applyFill="1"/>
    <xf numFmtId="0" fontId="14" fillId="8" borderId="0" xfId="0" applyFont="1" applyFill="1" applyAlignment="1">
      <alignment wrapText="1"/>
    </xf>
    <xf numFmtId="0" fontId="3" fillId="9" borderId="0" xfId="0" applyFont="1" applyFill="1" applyAlignment="1">
      <alignment wrapText="1"/>
    </xf>
    <xf numFmtId="0" fontId="15" fillId="9" borderId="0" xfId="0" applyFont="1" applyFill="1"/>
    <xf numFmtId="0" fontId="15" fillId="10" borderId="0" xfId="0" applyFont="1" applyFill="1"/>
    <xf numFmtId="0" fontId="22" fillId="8" borderId="0" xfId="0" applyFont="1" applyFill="1"/>
    <xf numFmtId="0" fontId="0" fillId="9" borderId="0" xfId="0" applyFill="1" applyAlignment="1">
      <alignment wrapText="1"/>
    </xf>
    <xf numFmtId="0" fontId="5" fillId="2" borderId="0" xfId="7" applyFont="1" applyFill="1" applyAlignment="1">
      <alignment horizontal="center" vertical="center"/>
    </xf>
    <xf numFmtId="3" fontId="5" fillId="2" borderId="0" xfId="7" applyNumberFormat="1" applyFont="1" applyFill="1" applyAlignment="1">
      <alignment horizontal="right" vertical="center"/>
    </xf>
    <xf numFmtId="165" fontId="5" fillId="2" borderId="0" xfId="7" applyNumberFormat="1" applyFont="1" applyFill="1" applyAlignment="1">
      <alignment horizontal="right" vertical="center"/>
    </xf>
    <xf numFmtId="0" fontId="11" fillId="2" borderId="0" xfId="7" applyFont="1" applyFill="1" applyAlignment="1">
      <alignment vertical="center"/>
    </xf>
    <xf numFmtId="0" fontId="3" fillId="9" borderId="0" xfId="7" applyFont="1" applyFill="1"/>
    <xf numFmtId="0" fontId="3" fillId="9" borderId="0" xfId="7" applyFont="1" applyFill="1" applyAlignment="1">
      <alignment vertical="center"/>
    </xf>
    <xf numFmtId="0" fontId="8" fillId="9" borderId="0" xfId="7" applyFont="1" applyFill="1" applyAlignment="1">
      <alignment vertical="center"/>
    </xf>
    <xf numFmtId="0" fontId="5" fillId="9" borderId="0" xfId="7" applyFont="1" applyFill="1" applyAlignment="1">
      <alignment vertical="center"/>
    </xf>
    <xf numFmtId="0" fontId="17" fillId="2" borderId="0" xfId="7" applyFont="1" applyFill="1" applyAlignment="1">
      <alignment vertical="center"/>
    </xf>
    <xf numFmtId="0" fontId="20" fillId="2" borderId="0" xfId="0" applyFont="1" applyFill="1" applyAlignment="1">
      <alignment horizontal="left"/>
    </xf>
    <xf numFmtId="168" fontId="0" fillId="2" borderId="0" xfId="0" applyNumberFormat="1" applyFill="1"/>
    <xf numFmtId="10" fontId="20" fillId="2" borderId="0" xfId="0" applyNumberFormat="1" applyFont="1" applyFill="1" applyAlignment="1">
      <alignment horizontal="right"/>
    </xf>
    <xf numFmtId="0" fontId="21" fillId="2" borderId="0" xfId="0" applyFont="1" applyFill="1"/>
    <xf numFmtId="0" fontId="12" fillId="2" borderId="0" xfId="7" applyFont="1" applyFill="1" applyAlignment="1">
      <alignment vertical="center"/>
    </xf>
    <xf numFmtId="0" fontId="4" fillId="2" borderId="0" xfId="8" applyFont="1" applyFill="1" applyAlignment="1">
      <alignment vertical="center"/>
    </xf>
    <xf numFmtId="0" fontId="3" fillId="2" borderId="0" xfId="8" applyFont="1" applyFill="1" applyAlignment="1">
      <alignment vertical="center"/>
    </xf>
    <xf numFmtId="0" fontId="31" fillId="18" borderId="0" xfId="7" applyFont="1" applyFill="1" applyAlignment="1">
      <alignment vertical="center"/>
    </xf>
    <xf numFmtId="0" fontId="32" fillId="18" borderId="0" xfId="7" applyFont="1" applyFill="1" applyAlignment="1">
      <alignment vertical="center" wrapText="1"/>
    </xf>
    <xf numFmtId="0" fontId="32" fillId="18" borderId="6" xfId="7" applyFont="1" applyFill="1" applyBorder="1" applyAlignment="1">
      <alignment vertical="center"/>
    </xf>
    <xf numFmtId="0" fontId="31" fillId="18" borderId="0" xfId="7" applyFont="1" applyFill="1" applyAlignment="1">
      <alignment vertical="center" wrapText="1"/>
    </xf>
    <xf numFmtId="0" fontId="32" fillId="18" borderId="0" xfId="7" applyFont="1" applyFill="1" applyAlignment="1">
      <alignment vertical="center"/>
    </xf>
    <xf numFmtId="0" fontId="33" fillId="18" borderId="0" xfId="7" applyFont="1" applyFill="1" applyAlignment="1">
      <alignment vertical="center" wrapText="1"/>
    </xf>
    <xf numFmtId="0" fontId="34" fillId="18" borderId="0" xfId="7" applyFont="1" applyFill="1" applyAlignment="1">
      <alignment vertical="top" wrapText="1"/>
    </xf>
    <xf numFmtId="0" fontId="35" fillId="18" borderId="0" xfId="7" applyFont="1" applyFill="1" applyAlignment="1">
      <alignment vertical="top" wrapText="1"/>
    </xf>
    <xf numFmtId="0" fontId="36" fillId="18" borderId="0" xfId="0" applyFont="1" applyFill="1"/>
    <xf numFmtId="0" fontId="36" fillId="0" borderId="0" xfId="0" applyFont="1"/>
    <xf numFmtId="0" fontId="36" fillId="10" borderId="0" xfId="0" applyFont="1" applyFill="1"/>
    <xf numFmtId="0" fontId="28" fillId="19" borderId="8" xfId="0" applyFont="1" applyFill="1" applyBorder="1" applyAlignment="1">
      <alignment horizontal="left"/>
    </xf>
    <xf numFmtId="2" fontId="37" fillId="19" borderId="9" xfId="0" applyNumberFormat="1" applyFont="1" applyFill="1" applyBorder="1"/>
    <xf numFmtId="0" fontId="27" fillId="19" borderId="9" xfId="0" applyFont="1" applyFill="1" applyBorder="1"/>
    <xf numFmtId="0" fontId="27" fillId="19" borderId="10" xfId="0" applyFont="1" applyFill="1" applyBorder="1"/>
    <xf numFmtId="0" fontId="32" fillId="18" borderId="11" xfId="0" applyFont="1" applyFill="1" applyBorder="1" applyAlignment="1">
      <alignment horizontal="left"/>
    </xf>
    <xf numFmtId="10" fontId="32" fillId="20" borderId="12" xfId="5" applyNumberFormat="1" applyFont="1" applyFill="1" applyBorder="1"/>
    <xf numFmtId="10" fontId="32" fillId="20" borderId="12" xfId="0" applyNumberFormat="1" applyFont="1" applyFill="1" applyBorder="1"/>
    <xf numFmtId="10" fontId="32" fillId="20" borderId="13" xfId="5" applyNumberFormat="1" applyFont="1" applyFill="1" applyBorder="1"/>
    <xf numFmtId="4" fontId="32" fillId="20" borderId="12" xfId="0" applyNumberFormat="1" applyFont="1" applyFill="1" applyBorder="1"/>
    <xf numFmtId="4" fontId="32" fillId="20" borderId="13" xfId="0" applyNumberFormat="1" applyFont="1" applyFill="1" applyBorder="1"/>
    <xf numFmtId="0" fontId="32" fillId="18" borderId="11" xfId="0" applyFont="1" applyFill="1" applyBorder="1"/>
    <xf numFmtId="0" fontId="32" fillId="18" borderId="14" xfId="0" applyFont="1" applyFill="1" applyBorder="1"/>
    <xf numFmtId="4" fontId="32" fillId="21" borderId="15" xfId="0" applyNumberFormat="1" applyFont="1" applyFill="1" applyBorder="1"/>
    <xf numFmtId="4" fontId="32" fillId="21" borderId="16" xfId="0" applyNumberFormat="1" applyFont="1" applyFill="1" applyBorder="1"/>
    <xf numFmtId="0" fontId="28" fillId="19" borderId="8" xfId="0" applyFont="1" applyFill="1" applyBorder="1"/>
    <xf numFmtId="0" fontId="28" fillId="19" borderId="9" xfId="0" applyFont="1" applyFill="1" applyBorder="1"/>
    <xf numFmtId="0" fontId="28" fillId="19" borderId="10" xfId="0" applyFont="1" applyFill="1" applyBorder="1"/>
    <xf numFmtId="10" fontId="32" fillId="21" borderId="12" xfId="5" applyNumberFormat="1" applyFont="1" applyFill="1" applyBorder="1"/>
    <xf numFmtId="10" fontId="32" fillId="21" borderId="12" xfId="0" applyNumberFormat="1" applyFont="1" applyFill="1" applyBorder="1"/>
    <xf numFmtId="10" fontId="32" fillId="21" borderId="13" xfId="5" applyNumberFormat="1" applyFont="1" applyFill="1" applyBorder="1"/>
    <xf numFmtId="0" fontId="32" fillId="18" borderId="14" xfId="0" applyFont="1" applyFill="1" applyBorder="1" applyAlignment="1">
      <alignment horizontal="left"/>
    </xf>
    <xf numFmtId="0" fontId="38" fillId="0" borderId="0" xfId="0" applyFont="1"/>
    <xf numFmtId="0" fontId="39" fillId="0" borderId="0" xfId="0" applyFont="1"/>
    <xf numFmtId="0" fontId="40" fillId="0" borderId="0" xfId="0" applyFont="1"/>
    <xf numFmtId="14" fontId="40" fillId="0" borderId="0" xfId="0" applyNumberFormat="1" applyFont="1"/>
    <xf numFmtId="0" fontId="32" fillId="0" borderId="11" xfId="0" applyFont="1" applyBorder="1"/>
    <xf numFmtId="173" fontId="34" fillId="20" borderId="12" xfId="0" applyNumberFormat="1" applyFont="1" applyFill="1" applyBorder="1"/>
    <xf numFmtId="0" fontId="32" fillId="0" borderId="14" xfId="0" applyFont="1" applyBorder="1"/>
    <xf numFmtId="0" fontId="36" fillId="0" borderId="0" xfId="0" applyFont="1" applyAlignment="1">
      <alignment horizontal="left"/>
    </xf>
    <xf numFmtId="0" fontId="41" fillId="0" borderId="0" xfId="0" applyFont="1"/>
    <xf numFmtId="0" fontId="42" fillId="0" borderId="0" xfId="0" applyFont="1"/>
    <xf numFmtId="0" fontId="41" fillId="0" borderId="0" xfId="7" applyFont="1"/>
    <xf numFmtId="174" fontId="42" fillId="0" borderId="0" xfId="7" applyNumberFormat="1" applyFont="1"/>
    <xf numFmtId="0" fontId="40" fillId="0" borderId="0" xfId="7" applyFont="1"/>
    <xf numFmtId="175" fontId="41" fillId="0" borderId="0" xfId="7" applyNumberFormat="1" applyFont="1"/>
    <xf numFmtId="175" fontId="42" fillId="0" borderId="0" xfId="7" applyNumberFormat="1" applyFont="1"/>
    <xf numFmtId="0" fontId="42" fillId="0" borderId="0" xfId="7" applyFont="1"/>
    <xf numFmtId="0" fontId="40" fillId="0" borderId="5" xfId="7" applyFont="1" applyBorder="1"/>
    <xf numFmtId="175" fontId="40" fillId="20" borderId="5" xfId="7" applyNumberFormat="1" applyFont="1" applyFill="1" applyBorder="1"/>
    <xf numFmtId="174" fontId="40" fillId="0" borderId="0" xfId="7" applyNumberFormat="1" applyFont="1"/>
    <xf numFmtId="3" fontId="40" fillId="20" borderId="5" xfId="7" applyNumberFormat="1" applyFont="1" applyFill="1" applyBorder="1"/>
    <xf numFmtId="10" fontId="40" fillId="20" borderId="5" xfId="7" applyNumberFormat="1" applyFont="1" applyFill="1" applyBorder="1"/>
    <xf numFmtId="5" fontId="40" fillId="20" borderId="5" xfId="7" applyNumberFormat="1" applyFont="1" applyFill="1" applyBorder="1" applyAlignment="1">
      <alignment horizontal="right"/>
    </xf>
    <xf numFmtId="175" fontId="40" fillId="0" borderId="0" xfId="7" applyNumberFormat="1" applyFont="1"/>
    <xf numFmtId="0" fontId="23" fillId="18" borderId="0" xfId="0" applyFont="1" applyFill="1"/>
    <xf numFmtId="0" fontId="32" fillId="0" borderId="17" xfId="0" applyFont="1" applyBorder="1"/>
    <xf numFmtId="0" fontId="32" fillId="0" borderId="11" xfId="0" quotePrefix="1" applyFont="1" applyBorder="1"/>
    <xf numFmtId="4" fontId="32" fillId="20" borderId="18" xfId="0" applyNumberFormat="1" applyFont="1" applyFill="1" applyBorder="1"/>
    <xf numFmtId="4" fontId="32" fillId="20" borderId="19" xfId="0" applyNumberFormat="1" applyFont="1" applyFill="1" applyBorder="1"/>
    <xf numFmtId="10" fontId="36" fillId="0" borderId="0" xfId="0" applyNumberFormat="1" applyFont="1"/>
    <xf numFmtId="0" fontId="9" fillId="2" borderId="0" xfId="0" applyFont="1" applyFill="1" applyAlignment="1">
      <alignment horizontal="right" vertical="top"/>
    </xf>
    <xf numFmtId="0" fontId="0" fillId="2" borderId="0" xfId="0" applyFill="1" applyAlignment="1">
      <alignment vertical="top"/>
    </xf>
    <xf numFmtId="0" fontId="45" fillId="2" borderId="0" xfId="7" applyFont="1" applyFill="1" applyAlignment="1">
      <alignment vertical="center"/>
    </xf>
    <xf numFmtId="0" fontId="46" fillId="0" borderId="0" xfId="10"/>
    <xf numFmtId="0" fontId="46" fillId="23" borderId="0" xfId="10" applyFill="1"/>
    <xf numFmtId="0" fontId="46" fillId="23" borderId="0" xfId="10" applyFill="1" applyAlignment="1">
      <alignment horizontal="center" vertical="center" wrapText="1"/>
    </xf>
    <xf numFmtId="0" fontId="46" fillId="0" borderId="0" xfId="10" applyAlignment="1">
      <alignment horizontal="center" vertical="center" wrapText="1"/>
    </xf>
    <xf numFmtId="0" fontId="46" fillId="23" borderId="0" xfId="10" applyFill="1" applyAlignment="1">
      <alignment horizontal="center" vertical="center"/>
    </xf>
    <xf numFmtId="176" fontId="46" fillId="0" borderId="0" xfId="10" applyNumberFormat="1" applyAlignment="1">
      <alignment horizontal="center" vertical="center"/>
    </xf>
    <xf numFmtId="14" fontId="46" fillId="0" borderId="0" xfId="10" applyNumberFormat="1" applyAlignment="1">
      <alignment horizontal="center" vertical="center"/>
    </xf>
    <xf numFmtId="177" fontId="46" fillId="0" borderId="0" xfId="10" applyNumberFormat="1" applyAlignment="1">
      <alignment horizontal="right" vertical="center"/>
    </xf>
    <xf numFmtId="0" fontId="46" fillId="23" borderId="0" xfId="10" applyFill="1" applyAlignment="1">
      <alignment horizontal="right" vertical="center"/>
    </xf>
    <xf numFmtId="8" fontId="46" fillId="0" borderId="0" xfId="10" applyNumberFormat="1" applyAlignment="1">
      <alignment horizontal="right" vertical="center"/>
    </xf>
    <xf numFmtId="178" fontId="46" fillId="0" borderId="0" xfId="10" applyNumberFormat="1" applyAlignment="1">
      <alignment horizontal="right" vertical="center"/>
    </xf>
    <xf numFmtId="8" fontId="46" fillId="0" borderId="0" xfId="10" applyNumberFormat="1" applyAlignment="1">
      <alignment horizontal="center" vertical="center"/>
    </xf>
    <xf numFmtId="179" fontId="46" fillId="0" borderId="0" xfId="10" applyNumberFormat="1" applyAlignment="1">
      <alignment horizontal="center" vertical="center"/>
    </xf>
    <xf numFmtId="0" fontId="46" fillId="0" borderId="0" xfId="10" applyAlignment="1">
      <alignment horizontal="center" vertical="center"/>
    </xf>
    <xf numFmtId="178" fontId="46" fillId="0" borderId="0" xfId="10" applyNumberFormat="1" applyAlignment="1">
      <alignment horizontal="center" vertical="center"/>
    </xf>
    <xf numFmtId="10" fontId="46" fillId="0" borderId="0" xfId="10" applyNumberFormat="1" applyAlignment="1">
      <alignment horizontal="center" vertical="center"/>
    </xf>
    <xf numFmtId="0" fontId="0" fillId="0" borderId="0" xfId="0" applyAlignment="1">
      <alignment vertical="top" wrapText="1"/>
    </xf>
    <xf numFmtId="0" fontId="47" fillId="0" borderId="0" xfId="0" applyFont="1" applyAlignment="1">
      <alignment vertical="top" wrapText="1"/>
    </xf>
    <xf numFmtId="0" fontId="48" fillId="0" borderId="0" xfId="0" applyFont="1" applyAlignment="1">
      <alignment vertical="top" wrapText="1"/>
    </xf>
    <xf numFmtId="0" fontId="1" fillId="0" borderId="0" xfId="3" applyAlignment="1">
      <alignment vertical="top" wrapText="1"/>
    </xf>
    <xf numFmtId="0" fontId="3" fillId="2" borderId="0" xfId="0" applyFont="1" applyFill="1" applyAlignment="1">
      <alignment vertical="top"/>
    </xf>
    <xf numFmtId="0" fontId="0" fillId="9" borderId="0" xfId="0" applyFill="1" applyAlignment="1">
      <alignment vertical="top"/>
    </xf>
    <xf numFmtId="0" fontId="5" fillId="2" borderId="25" xfId="7" applyFont="1" applyFill="1" applyBorder="1"/>
    <xf numFmtId="0" fontId="1" fillId="0" borderId="0" xfId="3"/>
    <xf numFmtId="0" fontId="5" fillId="2" borderId="0" xfId="0" applyFont="1" applyFill="1" applyAlignment="1">
      <alignment wrapText="1"/>
    </xf>
    <xf numFmtId="0" fontId="46" fillId="21" borderId="0" xfId="10" applyFill="1" applyAlignment="1">
      <alignment horizontal="center" vertical="center" wrapText="1"/>
    </xf>
    <xf numFmtId="0" fontId="40" fillId="0" borderId="5" xfId="7" applyFont="1" applyBorder="1" applyAlignment="1">
      <alignment horizontal="center"/>
    </xf>
    <xf numFmtId="0" fontId="29" fillId="0" borderId="0" xfId="0" applyFont="1" applyAlignment="1">
      <alignment wrapText="1"/>
    </xf>
    <xf numFmtId="0" fontId="24" fillId="22" borderId="0" xfId="0" applyFont="1" applyFill="1"/>
    <xf numFmtId="0" fontId="25" fillId="15" borderId="0" xfId="0" applyFont="1" applyFill="1"/>
    <xf numFmtId="0" fontId="22" fillId="22" borderId="0" xfId="0" applyFont="1" applyFill="1"/>
    <xf numFmtId="9" fontId="23" fillId="18" borderId="0" xfId="0" applyNumberFormat="1" applyFont="1" applyFill="1"/>
    <xf numFmtId="180" fontId="23" fillId="15" borderId="0" xfId="0" applyNumberFormat="1" applyFont="1" applyFill="1"/>
    <xf numFmtId="180" fontId="23" fillId="18" borderId="0" xfId="0" applyNumberFormat="1" applyFont="1" applyFill="1"/>
    <xf numFmtId="1" fontId="23" fillId="15" borderId="0" xfId="0" applyNumberFormat="1" applyFont="1" applyFill="1"/>
    <xf numFmtId="0" fontId="23" fillId="15" borderId="0" xfId="0" applyFont="1" applyFill="1"/>
    <xf numFmtId="0" fontId="49" fillId="22" borderId="0" xfId="0" applyFont="1" applyFill="1"/>
    <xf numFmtId="0" fontId="25" fillId="22" borderId="0" xfId="0" applyFont="1" applyFill="1"/>
    <xf numFmtId="0" fontId="25" fillId="22" borderId="0" xfId="0" applyFont="1" applyFill="1" applyAlignment="1">
      <alignment horizontal="left"/>
    </xf>
    <xf numFmtId="0" fontId="25" fillId="18" borderId="0" xfId="0" applyFont="1" applyFill="1"/>
    <xf numFmtId="0" fontId="30" fillId="22" borderId="0" xfId="7" applyFont="1" applyFill="1"/>
    <xf numFmtId="0" fontId="50" fillId="2" borderId="0" xfId="0" applyFont="1" applyFill="1" applyAlignment="1">
      <alignment horizontal="right"/>
    </xf>
    <xf numFmtId="4" fontId="32" fillId="20" borderId="15" xfId="0" applyNumberFormat="1" applyFont="1" applyFill="1" applyBorder="1"/>
    <xf numFmtId="4" fontId="32" fillId="20" borderId="16" xfId="0" applyNumberFormat="1" applyFont="1" applyFill="1" applyBorder="1"/>
    <xf numFmtId="0" fontId="32" fillId="0" borderId="0" xfId="0" applyFont="1"/>
    <xf numFmtId="4" fontId="32" fillId="0" borderId="0" xfId="0" applyNumberFormat="1" applyFont="1"/>
    <xf numFmtId="2" fontId="32" fillId="20" borderId="13" xfId="5" applyNumberFormat="1" applyFont="1" applyFill="1" applyBorder="1"/>
    <xf numFmtId="174" fontId="25" fillId="0" borderId="0" xfId="7" applyNumberFormat="1" applyFont="1"/>
    <xf numFmtId="181" fontId="25" fillId="0" borderId="0" xfId="11" applyNumberFormat="1" applyFont="1"/>
    <xf numFmtId="10" fontId="40" fillId="20" borderId="5" xfId="11" applyNumberFormat="1" applyFont="1" applyFill="1" applyBorder="1"/>
    <xf numFmtId="10" fontId="40" fillId="20" borderId="5" xfId="11" applyNumberFormat="1" applyFont="1" applyFill="1" applyBorder="1" applyAlignment="1">
      <alignment horizontal="right"/>
    </xf>
    <xf numFmtId="0" fontId="44" fillId="2" borderId="0" xfId="0" applyFont="1" applyFill="1" applyAlignment="1">
      <alignment vertical="center"/>
    </xf>
    <xf numFmtId="0" fontId="53" fillId="2" borderId="0" xfId="7" applyFont="1" applyFill="1" applyAlignment="1">
      <alignment vertical="center"/>
    </xf>
    <xf numFmtId="0" fontId="54" fillId="2" borderId="0" xfId="7" applyFont="1" applyFill="1" applyAlignment="1">
      <alignment vertical="top" wrapText="1"/>
    </xf>
    <xf numFmtId="0" fontId="56" fillId="18" borderId="0" xfId="7" applyFont="1" applyFill="1" applyAlignment="1">
      <alignment horizontal="center" vertical="center"/>
    </xf>
    <xf numFmtId="0" fontId="57" fillId="18" borderId="0" xfId="7" applyFont="1" applyFill="1" applyAlignment="1" applyProtection="1">
      <alignment horizontal="center" vertical="center" wrapText="1"/>
      <protection locked="0"/>
    </xf>
    <xf numFmtId="0" fontId="56" fillId="18" borderId="0" xfId="7" applyFont="1" applyFill="1" applyAlignment="1">
      <alignment vertical="center"/>
    </xf>
    <xf numFmtId="0" fontId="58" fillId="18" borderId="0" xfId="7" applyFont="1" applyFill="1" applyAlignment="1">
      <alignment vertical="center" wrapText="1"/>
    </xf>
    <xf numFmtId="0" fontId="54" fillId="2" borderId="0" xfId="3" applyFont="1" applyFill="1" applyAlignment="1">
      <alignment vertical="center" wrapText="1"/>
    </xf>
    <xf numFmtId="0" fontId="56" fillId="18" borderId="0" xfId="7" applyFont="1" applyFill="1" applyAlignment="1">
      <alignment vertical="center" wrapText="1"/>
    </xf>
    <xf numFmtId="0" fontId="58" fillId="18" borderId="0" xfId="7" applyFont="1" applyFill="1" applyAlignment="1">
      <alignment vertical="top" wrapText="1"/>
    </xf>
    <xf numFmtId="0" fontId="60" fillId="2" borderId="0" xfId="7" applyFont="1" applyFill="1" applyAlignment="1">
      <alignment vertical="center" wrapText="1"/>
    </xf>
    <xf numFmtId="0" fontId="59" fillId="2" borderId="0" xfId="7" applyFont="1" applyFill="1" applyAlignment="1">
      <alignment vertical="center"/>
    </xf>
    <xf numFmtId="0" fontId="61" fillId="2" borderId="0" xfId="3" applyFont="1" applyFill="1" applyAlignment="1">
      <alignment horizontal="center" vertical="center"/>
    </xf>
    <xf numFmtId="0" fontId="62" fillId="2" borderId="0" xfId="7" applyFont="1" applyFill="1" applyAlignment="1">
      <alignment horizontal="center" vertical="center" wrapText="1"/>
    </xf>
    <xf numFmtId="0" fontId="62" fillId="2" borderId="0" xfId="7" applyFont="1" applyFill="1" applyAlignment="1">
      <alignment vertical="center"/>
    </xf>
    <xf numFmtId="0" fontId="64" fillId="0" borderId="2" xfId="0" applyFont="1" applyBorder="1" applyAlignment="1">
      <alignment wrapText="1"/>
    </xf>
    <xf numFmtId="0" fontId="0" fillId="2" borderId="0" xfId="0" applyFill="1" applyAlignment="1">
      <alignment vertical="top" wrapText="1"/>
    </xf>
    <xf numFmtId="0" fontId="0" fillId="2" borderId="0" xfId="0" applyFill="1" applyAlignment="1">
      <alignment horizontal="right" vertical="top"/>
    </xf>
    <xf numFmtId="0" fontId="0" fillId="2" borderId="2" xfId="0" applyFill="1" applyBorder="1" applyAlignment="1">
      <alignment wrapText="1"/>
    </xf>
    <xf numFmtId="0" fontId="0" fillId="2" borderId="3" xfId="0" applyFill="1" applyBorder="1" applyAlignment="1">
      <alignment wrapText="1"/>
    </xf>
    <xf numFmtId="0" fontId="66" fillId="2" borderId="0" xfId="0" applyFont="1" applyFill="1" applyAlignment="1">
      <alignment wrapText="1"/>
    </xf>
    <xf numFmtId="0" fontId="66" fillId="2" borderId="0" xfId="0" applyFont="1" applyFill="1" applyAlignment="1">
      <alignment vertical="center" wrapText="1"/>
    </xf>
    <xf numFmtId="0" fontId="65" fillId="2" borderId="0" xfId="0" applyFont="1" applyFill="1" applyAlignment="1">
      <alignment wrapText="1"/>
    </xf>
    <xf numFmtId="0" fontId="60" fillId="2" borderId="0" xfId="0" applyFont="1" applyFill="1" applyAlignment="1">
      <alignment horizontal="right" vertical="top"/>
    </xf>
    <xf numFmtId="0" fontId="60" fillId="2" borderId="0" xfId="0" applyFont="1" applyFill="1" applyAlignment="1">
      <alignment wrapText="1"/>
    </xf>
    <xf numFmtId="0" fontId="69" fillId="2" borderId="0" xfId="0" applyFont="1" applyFill="1" applyAlignment="1">
      <alignment horizontal="right" vertical="top"/>
    </xf>
    <xf numFmtId="0" fontId="70" fillId="2" borderId="2" xfId="0" applyFont="1" applyFill="1" applyBorder="1" applyAlignment="1">
      <alignment wrapText="1"/>
    </xf>
    <xf numFmtId="0" fontId="60" fillId="2" borderId="0" xfId="0" applyFont="1" applyFill="1"/>
    <xf numFmtId="0" fontId="60" fillId="2" borderId="0" xfId="0" applyFont="1" applyFill="1" applyAlignment="1">
      <alignment vertical="top" wrapText="1"/>
    </xf>
    <xf numFmtId="0" fontId="60" fillId="2" borderId="2" xfId="0" applyFont="1" applyFill="1" applyBorder="1" applyAlignment="1">
      <alignment wrapText="1"/>
    </xf>
    <xf numFmtId="0" fontId="60" fillId="2" borderId="0" xfId="0" applyFont="1" applyFill="1" applyAlignment="1">
      <alignment vertical="center" wrapText="1"/>
    </xf>
    <xf numFmtId="0" fontId="70" fillId="0" borderId="2" xfId="0" applyFont="1" applyBorder="1" applyAlignment="1">
      <alignment wrapText="1"/>
    </xf>
    <xf numFmtId="0" fontId="71" fillId="2" borderId="0" xfId="0" applyFont="1" applyFill="1" applyAlignment="1">
      <alignment vertical="top"/>
    </xf>
    <xf numFmtId="0" fontId="71" fillId="2" borderId="0" xfId="0" applyFont="1" applyFill="1" applyAlignment="1">
      <alignment wrapText="1"/>
    </xf>
    <xf numFmtId="0" fontId="69" fillId="2" borderId="0" xfId="0" applyFont="1" applyFill="1" applyAlignment="1">
      <alignment horizontal="left" vertical="center"/>
    </xf>
    <xf numFmtId="0" fontId="70" fillId="2" borderId="0" xfId="0" applyFont="1" applyFill="1" applyAlignment="1">
      <alignment wrapText="1"/>
    </xf>
    <xf numFmtId="0" fontId="60" fillId="2" borderId="4" xfId="0" applyFont="1" applyFill="1" applyBorder="1" applyAlignment="1">
      <alignment wrapText="1"/>
    </xf>
    <xf numFmtId="0" fontId="60" fillId="2" borderId="0" xfId="0" applyFont="1" applyFill="1" applyAlignment="1">
      <alignment horizontal="left" vertical="center" wrapText="1"/>
    </xf>
    <xf numFmtId="0" fontId="72" fillId="18" borderId="0" xfId="0" applyFont="1" applyFill="1"/>
    <xf numFmtId="0" fontId="55" fillId="2" borderId="0" xfId="0" applyFont="1" applyFill="1" applyAlignment="1">
      <alignment horizontal="center"/>
    </xf>
    <xf numFmtId="0" fontId="52" fillId="2" borderId="0" xfId="0" applyFont="1" applyFill="1" applyAlignment="1">
      <alignment horizontal="right" vertical="center" wrapText="1"/>
    </xf>
    <xf numFmtId="0" fontId="54" fillId="6" borderId="27" xfId="0" applyFont="1" applyFill="1" applyBorder="1" applyAlignment="1" applyProtection="1">
      <alignment horizontal="center"/>
      <protection locked="0"/>
    </xf>
    <xf numFmtId="0" fontId="70" fillId="2" borderId="0" xfId="7" applyFont="1" applyFill="1" applyAlignment="1">
      <alignment vertical="center"/>
    </xf>
    <xf numFmtId="0" fontId="67" fillId="2" borderId="0" xfId="7" applyFont="1" applyFill="1" applyAlignment="1">
      <alignment vertical="center"/>
    </xf>
    <xf numFmtId="0" fontId="55" fillId="2" borderId="0" xfId="7" applyFont="1" applyFill="1" applyAlignment="1">
      <alignment vertical="center"/>
    </xf>
    <xf numFmtId="0" fontId="74" fillId="2" borderId="0" xfId="0" applyFont="1" applyFill="1" applyAlignment="1">
      <alignment vertical="center" wrapText="1"/>
    </xf>
    <xf numFmtId="0" fontId="65" fillId="2" borderId="0" xfId="0" applyFont="1" applyFill="1" applyAlignment="1">
      <alignment vertical="center" wrapText="1"/>
    </xf>
    <xf numFmtId="0" fontId="66" fillId="2" borderId="0" xfId="0" applyFont="1" applyFill="1"/>
    <xf numFmtId="0" fontId="55" fillId="6" borderId="27" xfId="0" applyFont="1" applyFill="1" applyBorder="1" applyAlignment="1" applyProtection="1">
      <alignment horizontal="center" vertical="center"/>
      <protection locked="0"/>
    </xf>
    <xf numFmtId="0" fontId="52" fillId="2" borderId="0" xfId="0" applyFont="1" applyFill="1" applyAlignment="1">
      <alignment horizontal="left" vertical="center"/>
    </xf>
    <xf numFmtId="0" fontId="75" fillId="2" borderId="0" xfId="0" applyFont="1" applyFill="1" applyAlignment="1">
      <alignment horizontal="center" vertical="center"/>
    </xf>
    <xf numFmtId="0" fontId="65" fillId="2" borderId="0" xfId="0" applyFont="1" applyFill="1"/>
    <xf numFmtId="9" fontId="55" fillId="6" borderId="27" xfId="0" applyNumberFormat="1" applyFont="1" applyFill="1" applyBorder="1" applyAlignment="1" applyProtection="1">
      <alignment horizontal="center" vertical="center"/>
      <protection locked="0"/>
    </xf>
    <xf numFmtId="9" fontId="55" fillId="7" borderId="27" xfId="0" applyNumberFormat="1" applyFont="1" applyFill="1" applyBorder="1" applyAlignment="1">
      <alignment horizontal="center" vertical="center"/>
    </xf>
    <xf numFmtId="9" fontId="66" fillId="2" borderId="0" xfId="0" applyNumberFormat="1" applyFont="1" applyFill="1"/>
    <xf numFmtId="168" fontId="55" fillId="6" borderId="27" xfId="0" applyNumberFormat="1" applyFont="1" applyFill="1" applyBorder="1" applyAlignment="1" applyProtection="1">
      <alignment horizontal="center" vertical="center"/>
      <protection locked="0"/>
    </xf>
    <xf numFmtId="0" fontId="55" fillId="6" borderId="27" xfId="0" applyFont="1" applyFill="1" applyBorder="1" applyAlignment="1" applyProtection="1">
      <alignment horizontal="center" vertical="center" wrapText="1"/>
      <protection locked="0"/>
    </xf>
    <xf numFmtId="0" fontId="76" fillId="15" borderId="0" xfId="0" applyFont="1" applyFill="1" applyAlignment="1">
      <alignment vertical="center" wrapText="1"/>
    </xf>
    <xf numFmtId="0" fontId="66" fillId="2" borderId="0" xfId="0" applyFont="1" applyFill="1" applyAlignment="1">
      <alignment vertical="center"/>
    </xf>
    <xf numFmtId="0" fontId="52" fillId="2" borderId="0" xfId="0" applyFont="1" applyFill="1" applyAlignment="1">
      <alignment horizontal="right" vertical="center"/>
    </xf>
    <xf numFmtId="0" fontId="65" fillId="2" borderId="2" xfId="0" applyFont="1" applyFill="1" applyBorder="1" applyAlignment="1">
      <alignment vertical="center" wrapText="1"/>
    </xf>
    <xf numFmtId="0" fontId="66" fillId="2" borderId="2" xfId="0" applyFont="1" applyFill="1" applyBorder="1" applyAlignment="1">
      <alignment vertical="center"/>
    </xf>
    <xf numFmtId="168" fontId="55" fillId="7" borderId="27" xfId="0" applyNumberFormat="1" applyFont="1" applyFill="1" applyBorder="1" applyAlignment="1">
      <alignment horizontal="center" vertical="center"/>
    </xf>
    <xf numFmtId="0" fontId="66" fillId="2" borderId="2" xfId="0" applyFont="1" applyFill="1" applyBorder="1"/>
    <xf numFmtId="168" fontId="55" fillId="6" borderId="27" xfId="0" applyNumberFormat="1" applyFont="1" applyFill="1" applyBorder="1" applyAlignment="1" applyProtection="1">
      <alignment horizontal="center"/>
      <protection locked="0"/>
    </xf>
    <xf numFmtId="0" fontId="52" fillId="2" borderId="0" xfId="0" applyFont="1" applyFill="1" applyAlignment="1">
      <alignment horizontal="right" wrapText="1"/>
    </xf>
    <xf numFmtId="168" fontId="66" fillId="2" borderId="2" xfId="0" applyNumberFormat="1" applyFont="1" applyFill="1" applyBorder="1" applyAlignment="1">
      <alignment wrapText="1"/>
    </xf>
    <xf numFmtId="168" fontId="66" fillId="2" borderId="0" xfId="0" applyNumberFormat="1" applyFont="1" applyFill="1" applyAlignment="1">
      <alignment wrapText="1"/>
    </xf>
    <xf numFmtId="0" fontId="65" fillId="2" borderId="0" xfId="0" applyFont="1" applyFill="1" applyAlignment="1">
      <alignment vertical="center"/>
    </xf>
    <xf numFmtId="0" fontId="77" fillId="2" borderId="0" xfId="0" applyFont="1" applyFill="1"/>
    <xf numFmtId="0" fontId="76" fillId="2" borderId="0" xfId="0" applyFont="1" applyFill="1" applyAlignment="1">
      <alignment vertical="center"/>
    </xf>
    <xf numFmtId="0" fontId="65" fillId="2" borderId="2" xfId="0" applyFont="1" applyFill="1" applyBorder="1" applyAlignment="1">
      <alignment vertical="center"/>
    </xf>
    <xf numFmtId="0" fontId="76" fillId="2" borderId="2" xfId="0" applyFont="1" applyFill="1" applyBorder="1"/>
    <xf numFmtId="0" fontId="55" fillId="6" borderId="27" xfId="0" applyFont="1" applyFill="1" applyBorder="1" applyAlignment="1" applyProtection="1">
      <alignment horizontal="center"/>
      <protection locked="0"/>
    </xf>
    <xf numFmtId="0" fontId="68" fillId="2" borderId="0" xfId="0" applyFont="1" applyFill="1" applyAlignment="1">
      <alignment vertical="center"/>
    </xf>
    <xf numFmtId="0" fontId="68" fillId="2" borderId="0" xfId="0" applyFont="1" applyFill="1"/>
    <xf numFmtId="0" fontId="78" fillId="2" borderId="0" xfId="0" applyFont="1" applyFill="1" applyAlignment="1">
      <alignment vertical="center" wrapText="1"/>
    </xf>
    <xf numFmtId="0" fontId="52" fillId="2" borderId="0" xfId="0" applyFont="1" applyFill="1" applyAlignment="1">
      <alignment horizontal="right"/>
    </xf>
    <xf numFmtId="168" fontId="55" fillId="7" borderId="27" xfId="0" applyNumberFormat="1" applyFont="1" applyFill="1" applyBorder="1" applyAlignment="1">
      <alignment horizontal="center"/>
    </xf>
    <xf numFmtId="0" fontId="68" fillId="2" borderId="0" xfId="0" applyFont="1" applyFill="1" applyAlignment="1">
      <alignment vertical="center" wrapText="1"/>
    </xf>
    <xf numFmtId="0" fontId="52" fillId="2" borderId="0" xfId="0" applyFont="1" applyFill="1" applyAlignment="1">
      <alignment vertical="center" wrapText="1"/>
    </xf>
    <xf numFmtId="0" fontId="76" fillId="2" borderId="0" xfId="0" applyFont="1" applyFill="1" applyAlignment="1">
      <alignment wrapText="1"/>
    </xf>
    <xf numFmtId="0" fontId="52" fillId="2" borderId="27" xfId="0" applyFont="1" applyFill="1" applyBorder="1" applyAlignment="1">
      <alignment horizontal="right"/>
    </xf>
    <xf numFmtId="9" fontId="55" fillId="6" borderId="27" xfId="0" applyNumberFormat="1" applyFont="1" applyFill="1" applyBorder="1" applyAlignment="1" applyProtection="1">
      <alignment horizontal="center"/>
      <protection locked="0"/>
    </xf>
    <xf numFmtId="0" fontId="55" fillId="4" borderId="1" xfId="0" applyFont="1" applyFill="1" applyBorder="1" applyAlignment="1" applyProtection="1">
      <alignment horizontal="center"/>
      <protection locked="0"/>
    </xf>
    <xf numFmtId="0" fontId="67" fillId="2" borderId="0" xfId="0" applyFont="1" applyFill="1" applyAlignment="1">
      <alignment vertical="center" wrapText="1"/>
    </xf>
    <xf numFmtId="168" fontId="55" fillId="4" borderId="1" xfId="0" applyNumberFormat="1" applyFont="1" applyFill="1" applyBorder="1" applyAlignment="1" applyProtection="1">
      <alignment horizontal="center"/>
      <protection locked="0"/>
    </xf>
    <xf numFmtId="0" fontId="78" fillId="2" borderId="0" xfId="0" applyFont="1" applyFill="1" applyAlignment="1">
      <alignment vertical="center"/>
    </xf>
    <xf numFmtId="0" fontId="79" fillId="18" borderId="0" xfId="0" applyFont="1" applyFill="1"/>
    <xf numFmtId="0" fontId="65" fillId="9" borderId="0" xfId="0" applyFont="1" applyFill="1" applyAlignment="1">
      <alignment vertical="center"/>
    </xf>
    <xf numFmtId="0" fontId="65" fillId="9" borderId="0" xfId="0" applyFont="1" applyFill="1"/>
    <xf numFmtId="0" fontId="26" fillId="2" borderId="0" xfId="7" applyFill="1"/>
    <xf numFmtId="0" fontId="80" fillId="22" borderId="21" xfId="7" applyFont="1" applyFill="1" applyBorder="1"/>
    <xf numFmtId="0" fontId="80" fillId="22" borderId="22" xfId="7" applyFont="1" applyFill="1" applyBorder="1" applyAlignment="1">
      <alignment horizontal="center"/>
    </xf>
    <xf numFmtId="0" fontId="80" fillId="22" borderId="22" xfId="7" applyFont="1" applyFill="1" applyBorder="1"/>
    <xf numFmtId="0" fontId="80" fillId="22" borderId="23" xfId="7" applyFont="1" applyFill="1" applyBorder="1" applyAlignment="1">
      <alignment horizontal="center"/>
    </xf>
    <xf numFmtId="0" fontId="60" fillId="2" borderId="0" xfId="7" applyFont="1" applyFill="1"/>
    <xf numFmtId="0" fontId="80" fillId="22" borderId="23" xfId="7" applyFont="1" applyFill="1" applyBorder="1"/>
    <xf numFmtId="0" fontId="60" fillId="2" borderId="24" xfId="7" applyFont="1" applyFill="1" applyBorder="1"/>
    <xf numFmtId="166" fontId="60" fillId="11" borderId="26" xfId="9" applyNumberFormat="1" applyFont="1" applyFill="1" applyBorder="1" applyAlignment="1">
      <alignment horizontal="right"/>
    </xf>
    <xf numFmtId="166" fontId="60" fillId="12" borderId="26" xfId="7" applyNumberFormat="1" applyFont="1" applyFill="1" applyBorder="1"/>
    <xf numFmtId="0" fontId="54" fillId="13" borderId="24" xfId="7" applyFont="1" applyFill="1" applyBorder="1"/>
    <xf numFmtId="166" fontId="54" fillId="11" borderId="26" xfId="7" applyNumberFormat="1" applyFont="1" applyFill="1" applyBorder="1"/>
    <xf numFmtId="0" fontId="54" fillId="2" borderId="0" xfId="7" applyFont="1" applyFill="1"/>
    <xf numFmtId="3" fontId="54" fillId="2" borderId="0" xfId="7" applyNumberFormat="1" applyFont="1" applyFill="1"/>
    <xf numFmtId="166" fontId="60" fillId="2" borderId="25" xfId="7" applyNumberFormat="1" applyFont="1" applyFill="1" applyBorder="1"/>
    <xf numFmtId="0" fontId="58" fillId="22" borderId="23" xfId="7" applyFont="1" applyFill="1" applyBorder="1"/>
    <xf numFmtId="0" fontId="73" fillId="2" borderId="0" xfId="7" applyFont="1" applyFill="1"/>
    <xf numFmtId="0" fontId="69" fillId="2" borderId="0" xfId="7" applyFont="1" applyFill="1"/>
    <xf numFmtId="167" fontId="60" fillId="2" borderId="0" xfId="7" applyNumberFormat="1" applyFont="1" applyFill="1"/>
    <xf numFmtId="0" fontId="54" fillId="13" borderId="21" xfId="7" applyFont="1" applyFill="1" applyBorder="1"/>
    <xf numFmtId="166" fontId="60" fillId="11" borderId="22" xfId="7" applyNumberFormat="1" applyFont="1" applyFill="1" applyBorder="1"/>
    <xf numFmtId="166" fontId="54" fillId="11" borderId="23" xfId="7" applyNumberFormat="1" applyFont="1" applyFill="1" applyBorder="1"/>
    <xf numFmtId="166" fontId="60" fillId="2" borderId="0" xfId="7" applyNumberFormat="1" applyFont="1" applyFill="1"/>
    <xf numFmtId="10" fontId="81" fillId="2" borderId="0" xfId="7" applyNumberFormat="1" applyFont="1" applyFill="1"/>
    <xf numFmtId="1" fontId="60" fillId="2" borderId="0" xfId="9" applyNumberFormat="1" applyFont="1" applyFill="1" applyAlignment="1">
      <alignment horizontal="right"/>
    </xf>
    <xf numFmtId="0" fontId="54" fillId="2" borderId="0" xfId="7" applyFont="1" applyFill="1" applyAlignment="1">
      <alignment horizontal="right"/>
    </xf>
    <xf numFmtId="168" fontId="80" fillId="12" borderId="27" xfId="7" applyNumberFormat="1" applyFont="1" applyFill="1" applyBorder="1" applyAlignment="1">
      <alignment horizontal="center"/>
    </xf>
    <xf numFmtId="0" fontId="60" fillId="2" borderId="24" xfId="7" applyFont="1" applyFill="1" applyBorder="1" applyAlignment="1">
      <alignment horizontal="left"/>
    </xf>
    <xf numFmtId="0" fontId="60" fillId="2" borderId="25" xfId="7" applyFont="1" applyFill="1" applyBorder="1" applyAlignment="1">
      <alignment horizontal="left"/>
    </xf>
    <xf numFmtId="0" fontId="60" fillId="2" borderId="0" xfId="7" applyFont="1" applyFill="1" applyAlignment="1">
      <alignment horizontal="center"/>
    </xf>
    <xf numFmtId="0" fontId="60" fillId="2" borderId="25" xfId="7" applyFont="1" applyFill="1" applyBorder="1"/>
    <xf numFmtId="169" fontId="60" fillId="12" borderId="26" xfId="7" applyNumberFormat="1" applyFont="1" applyFill="1" applyBorder="1"/>
    <xf numFmtId="0" fontId="60" fillId="2" borderId="0" xfId="7" applyFont="1" applyFill="1" applyAlignment="1">
      <alignment horizontal="left"/>
    </xf>
    <xf numFmtId="0" fontId="60" fillId="2" borderId="25" xfId="7" applyFont="1" applyFill="1" applyBorder="1" applyAlignment="1">
      <alignment wrapText="1"/>
    </xf>
    <xf numFmtId="10" fontId="60" fillId="12" borderId="26" xfId="5" applyNumberFormat="1" applyFont="1" applyFill="1" applyBorder="1"/>
    <xf numFmtId="0" fontId="80" fillId="22" borderId="24" xfId="7" applyFont="1" applyFill="1" applyBorder="1"/>
    <xf numFmtId="0" fontId="80" fillId="22" borderId="25" xfId="7" applyFont="1" applyFill="1" applyBorder="1"/>
    <xf numFmtId="0" fontId="58" fillId="22" borderId="26" xfId="7" applyFont="1" applyFill="1" applyBorder="1"/>
    <xf numFmtId="0" fontId="62" fillId="2" borderId="0" xfId="7" applyFont="1" applyFill="1"/>
    <xf numFmtId="0" fontId="53" fillId="2" borderId="0" xfId="8" applyFont="1" applyFill="1" applyAlignment="1">
      <alignment vertical="center"/>
    </xf>
    <xf numFmtId="0" fontId="64" fillId="2" borderId="0" xfId="0" applyFont="1" applyFill="1" applyAlignment="1">
      <alignment horizontal="left"/>
    </xf>
    <xf numFmtId="0" fontId="82" fillId="2" borderId="0" xfId="8" applyFont="1" applyFill="1"/>
    <xf numFmtId="0" fontId="26" fillId="2" borderId="0" xfId="8" applyFill="1"/>
    <xf numFmtId="0" fontId="83" fillId="2" borderId="0" xfId="8" applyFont="1" applyFill="1" applyAlignment="1">
      <alignment horizontal="center"/>
    </xf>
    <xf numFmtId="0" fontId="80" fillId="14" borderId="21" xfId="8" applyFont="1" applyFill="1" applyBorder="1" applyAlignment="1">
      <alignment horizontal="left" vertical="center"/>
    </xf>
    <xf numFmtId="0" fontId="80" fillId="14" borderId="22" xfId="8" applyFont="1" applyFill="1" applyBorder="1" applyAlignment="1">
      <alignment horizontal="center" vertical="center"/>
    </xf>
    <xf numFmtId="0" fontId="80" fillId="14" borderId="23" xfId="8" applyFont="1" applyFill="1" applyBorder="1" applyAlignment="1">
      <alignment horizontal="center" vertical="center"/>
    </xf>
    <xf numFmtId="0" fontId="60" fillId="2" borderId="0" xfId="8" applyFont="1" applyFill="1"/>
    <xf numFmtId="0" fontId="60" fillId="2" borderId="0" xfId="8" applyFont="1" applyFill="1" applyAlignment="1">
      <alignment horizontal="center"/>
    </xf>
    <xf numFmtId="0" fontId="54" fillId="14" borderId="21" xfId="8" applyFont="1" applyFill="1" applyBorder="1" applyAlignment="1">
      <alignment horizontal="left" vertical="center"/>
    </xf>
    <xf numFmtId="166" fontId="54" fillId="12" borderId="22" xfId="8" applyNumberFormat="1" applyFont="1" applyFill="1" applyBorder="1" applyAlignment="1">
      <alignment horizontal="center" vertical="center"/>
    </xf>
    <xf numFmtId="166" fontId="54" fillId="12" borderId="23" xfId="8" applyNumberFormat="1" applyFont="1" applyFill="1" applyBorder="1" applyAlignment="1">
      <alignment horizontal="center" vertical="center"/>
    </xf>
    <xf numFmtId="166" fontId="26" fillId="2" borderId="0" xfId="8" applyNumberFormat="1" applyFill="1"/>
    <xf numFmtId="0" fontId="80" fillId="22" borderId="21" xfId="8" applyFont="1" applyFill="1" applyBorder="1"/>
    <xf numFmtId="166" fontId="58" fillId="22" borderId="22" xfId="8" applyNumberFormat="1" applyFont="1" applyFill="1" applyBorder="1"/>
    <xf numFmtId="166" fontId="80" fillId="22" borderId="23" xfId="8" applyNumberFormat="1" applyFont="1" applyFill="1" applyBorder="1"/>
    <xf numFmtId="0" fontId="60" fillId="2" borderId="24" xfId="8" applyFont="1" applyFill="1" applyBorder="1"/>
    <xf numFmtId="166" fontId="60" fillId="3" borderId="25" xfId="8" applyNumberFormat="1" applyFont="1" applyFill="1" applyBorder="1"/>
    <xf numFmtId="166" fontId="60" fillId="2" borderId="25" xfId="8" applyNumberFormat="1" applyFont="1" applyFill="1" applyBorder="1"/>
    <xf numFmtId="166" fontId="54" fillId="11" borderId="26" xfId="8" applyNumberFormat="1" applyFont="1" applyFill="1" applyBorder="1"/>
    <xf numFmtId="166" fontId="54" fillId="5" borderId="26" xfId="8" applyNumberFormat="1" applyFont="1" applyFill="1" applyBorder="1"/>
    <xf numFmtId="0" fontId="54" fillId="13" borderId="24" xfId="8" applyFont="1" applyFill="1" applyBorder="1"/>
    <xf numFmtId="166" fontId="60" fillId="11" borderId="25" xfId="8" applyNumberFormat="1" applyFont="1" applyFill="1" applyBorder="1"/>
    <xf numFmtId="166" fontId="58" fillId="22" borderId="23" xfId="8" applyNumberFormat="1" applyFont="1" applyFill="1" applyBorder="1"/>
    <xf numFmtId="166" fontId="54" fillId="13" borderId="26" xfId="8" applyNumberFormat="1" applyFont="1" applyFill="1" applyBorder="1"/>
    <xf numFmtId="166" fontId="60" fillId="2" borderId="0" xfId="8" applyNumberFormat="1" applyFont="1" applyFill="1"/>
    <xf numFmtId="0" fontId="54" fillId="13" borderId="21" xfId="8" applyFont="1" applyFill="1" applyBorder="1"/>
    <xf numFmtId="166" fontId="54" fillId="11" borderId="22" xfId="8" applyNumberFormat="1" applyFont="1" applyFill="1" applyBorder="1"/>
    <xf numFmtId="166" fontId="54" fillId="11" borderId="23" xfId="8" applyNumberFormat="1" applyFont="1" applyFill="1" applyBorder="1"/>
    <xf numFmtId="0" fontId="71" fillId="2" borderId="0" xfId="7" applyFont="1" applyFill="1"/>
    <xf numFmtId="0" fontId="64" fillId="22" borderId="21" xfId="7" applyFont="1" applyFill="1" applyBorder="1"/>
    <xf numFmtId="0" fontId="54" fillId="15" borderId="24" xfId="7" applyFont="1" applyFill="1" applyBorder="1"/>
    <xf numFmtId="170" fontId="54" fillId="12" borderId="26" xfId="7" applyNumberFormat="1" applyFont="1" applyFill="1" applyBorder="1"/>
    <xf numFmtId="0" fontId="60" fillId="15" borderId="24" xfId="7" applyFont="1" applyFill="1" applyBorder="1"/>
    <xf numFmtId="170" fontId="60" fillId="12" borderId="26" xfId="7" applyNumberFormat="1" applyFont="1" applyFill="1" applyBorder="1"/>
    <xf numFmtId="170" fontId="54" fillId="11" borderId="26" xfId="7" applyNumberFormat="1" applyFont="1" applyFill="1" applyBorder="1"/>
    <xf numFmtId="170" fontId="26" fillId="2" borderId="0" xfId="7" applyNumberFormat="1" applyFill="1"/>
    <xf numFmtId="0" fontId="69" fillId="15" borderId="24" xfId="7" applyFont="1" applyFill="1" applyBorder="1"/>
    <xf numFmtId="9" fontId="69" fillId="12" borderId="26" xfId="7" applyNumberFormat="1" applyFont="1" applyFill="1" applyBorder="1"/>
    <xf numFmtId="0" fontId="54" fillId="15" borderId="0" xfId="7" applyFont="1" applyFill="1"/>
    <xf numFmtId="170" fontId="54" fillId="2" borderId="0" xfId="7" applyNumberFormat="1" applyFont="1" applyFill="1"/>
    <xf numFmtId="0" fontId="60" fillId="15" borderId="0" xfId="7" applyFont="1" applyFill="1"/>
    <xf numFmtId="170" fontId="60" fillId="2" borderId="0" xfId="7" applyNumberFormat="1" applyFont="1" applyFill="1"/>
    <xf numFmtId="0" fontId="60" fillId="15" borderId="21" xfId="7" applyFont="1" applyFill="1" applyBorder="1"/>
    <xf numFmtId="170" fontId="60" fillId="12" borderId="23" xfId="7" applyNumberFormat="1" applyFont="1" applyFill="1" applyBorder="1"/>
    <xf numFmtId="0" fontId="54" fillId="15" borderId="21" xfId="7" applyFont="1" applyFill="1" applyBorder="1"/>
    <xf numFmtId="170" fontId="54" fillId="12" borderId="23" xfId="7" applyNumberFormat="1" applyFont="1" applyFill="1" applyBorder="1"/>
    <xf numFmtId="0" fontId="84" fillId="0" borderId="0" xfId="0" applyFont="1"/>
    <xf numFmtId="0" fontId="54" fillId="13" borderId="0" xfId="7" applyFont="1" applyFill="1"/>
    <xf numFmtId="170" fontId="54" fillId="12" borderId="0" xfId="7" applyNumberFormat="1" applyFont="1" applyFill="1"/>
    <xf numFmtId="0" fontId="69" fillId="15" borderId="0" xfId="7" applyFont="1" applyFill="1"/>
    <xf numFmtId="0" fontId="53" fillId="2" borderId="0" xfId="7" applyFont="1" applyFill="1" applyAlignment="1">
      <alignment horizontal="left" vertical="center"/>
    </xf>
    <xf numFmtId="0" fontId="62" fillId="2" borderId="0" xfId="7" applyFont="1" applyFill="1" applyAlignment="1">
      <alignment vertical="top"/>
    </xf>
    <xf numFmtId="0" fontId="58" fillId="17" borderId="21" xfId="7" applyFont="1" applyFill="1" applyBorder="1" applyAlignment="1">
      <alignment horizontal="left"/>
    </xf>
    <xf numFmtId="1" fontId="60" fillId="16" borderId="23" xfId="7" applyNumberFormat="1" applyFont="1" applyFill="1" applyBorder="1" applyAlignment="1">
      <alignment horizontal="center" vertical="center"/>
    </xf>
    <xf numFmtId="0" fontId="60" fillId="14" borderId="21" xfId="7" applyFont="1" applyFill="1" applyBorder="1"/>
    <xf numFmtId="0" fontId="60" fillId="14" borderId="22" xfId="7" applyFont="1" applyFill="1" applyBorder="1"/>
    <xf numFmtId="171" fontId="60" fillId="12" borderId="23" xfId="7" applyNumberFormat="1" applyFont="1" applyFill="1" applyBorder="1"/>
    <xf numFmtId="0" fontId="85" fillId="2" borderId="0" xfId="7" applyFont="1" applyFill="1"/>
    <xf numFmtId="0" fontId="58" fillId="17" borderId="24" xfId="7" applyFont="1" applyFill="1" applyBorder="1" applyAlignment="1">
      <alignment horizontal="left"/>
    </xf>
    <xf numFmtId="0" fontId="60" fillId="16" borderId="26" xfId="7" applyFont="1" applyFill="1" applyBorder="1" applyAlignment="1">
      <alignment horizontal="center" vertical="center"/>
    </xf>
    <xf numFmtId="0" fontId="60" fillId="14" borderId="24" xfId="7" applyFont="1" applyFill="1" applyBorder="1"/>
    <xf numFmtId="0" fontId="60" fillId="14" borderId="25" xfId="7" applyFont="1" applyFill="1" applyBorder="1"/>
    <xf numFmtId="171" fontId="60" fillId="12" borderId="26" xfId="7" applyNumberFormat="1" applyFont="1" applyFill="1" applyBorder="1"/>
    <xf numFmtId="0" fontId="86" fillId="2" borderId="0" xfId="7" applyFont="1" applyFill="1" applyAlignment="1">
      <alignment horizontal="center"/>
    </xf>
    <xf numFmtId="168" fontId="60" fillId="16" borderId="26" xfId="7" applyNumberFormat="1" applyFont="1" applyFill="1" applyBorder="1" applyAlignment="1">
      <alignment horizontal="center"/>
    </xf>
    <xf numFmtId="173" fontId="26" fillId="2" borderId="0" xfId="7" applyNumberFormat="1" applyFill="1"/>
    <xf numFmtId="172" fontId="60" fillId="16" borderId="26" xfId="7" applyNumberFormat="1" applyFont="1" applyFill="1" applyBorder="1" applyAlignment="1">
      <alignment horizontal="center"/>
    </xf>
    <xf numFmtId="10" fontId="60" fillId="16" borderId="26" xfId="7" applyNumberFormat="1" applyFont="1" applyFill="1" applyBorder="1" applyAlignment="1">
      <alignment horizontal="center"/>
    </xf>
    <xf numFmtId="0" fontId="54" fillId="2" borderId="0" xfId="7" applyFont="1" applyFill="1" applyAlignment="1">
      <alignment horizontal="center"/>
    </xf>
    <xf numFmtId="169" fontId="60" fillId="16" borderId="26" xfId="7" applyNumberFormat="1" applyFont="1" applyFill="1" applyBorder="1" applyAlignment="1">
      <alignment horizontal="center"/>
    </xf>
    <xf numFmtId="0" fontId="60" fillId="16" borderId="26" xfId="7" applyFont="1" applyFill="1" applyBorder="1" applyAlignment="1">
      <alignment horizontal="center"/>
    </xf>
    <xf numFmtId="9" fontId="86" fillId="2" borderId="0" xfId="7" applyNumberFormat="1" applyFont="1" applyFill="1" applyAlignment="1">
      <alignment horizontal="center"/>
    </xf>
    <xf numFmtId="0" fontId="80" fillId="17" borderId="20" xfId="7" applyFont="1" applyFill="1" applyBorder="1" applyAlignment="1">
      <alignment horizontal="left" vertical="center"/>
    </xf>
    <xf numFmtId="0" fontId="80" fillId="17" borderId="20" xfId="7" applyFont="1" applyFill="1" applyBorder="1" applyAlignment="1">
      <alignment horizontal="center" vertical="center"/>
    </xf>
    <xf numFmtId="0" fontId="87" fillId="17" borderId="27" xfId="7" applyFont="1" applyFill="1" applyBorder="1" applyAlignment="1">
      <alignment horizontal="left" vertical="center"/>
    </xf>
    <xf numFmtId="0" fontId="87" fillId="17" borderId="27" xfId="7" applyFont="1" applyFill="1" applyBorder="1" applyAlignment="1">
      <alignment horizontal="center" vertical="center"/>
    </xf>
    <xf numFmtId="0" fontId="60" fillId="14" borderId="27" xfId="7" applyFont="1" applyFill="1" applyBorder="1" applyAlignment="1">
      <alignment wrapText="1"/>
    </xf>
    <xf numFmtId="168" fontId="60" fillId="16" borderId="27" xfId="1" applyNumberFormat="1" applyFont="1" applyFill="1" applyBorder="1"/>
    <xf numFmtId="164" fontId="60" fillId="16" borderId="27" xfId="1" applyNumberFormat="1" applyFont="1" applyFill="1" applyBorder="1"/>
    <xf numFmtId="164" fontId="60" fillId="12" borderId="27" xfId="1" applyNumberFormat="1" applyFont="1" applyFill="1" applyBorder="1"/>
    <xf numFmtId="0" fontId="60" fillId="14" borderId="27" xfId="7" applyFont="1" applyFill="1" applyBorder="1"/>
    <xf numFmtId="164" fontId="60" fillId="16" borderId="27" xfId="7" applyNumberFormat="1" applyFont="1" applyFill="1" applyBorder="1"/>
    <xf numFmtId="164" fontId="60" fillId="12" borderId="27" xfId="7" applyNumberFormat="1" applyFont="1" applyFill="1" applyBorder="1"/>
    <xf numFmtId="0" fontId="54" fillId="14" borderId="27" xfId="7" applyFont="1" applyFill="1" applyBorder="1" applyAlignment="1">
      <alignment wrapText="1"/>
    </xf>
    <xf numFmtId="164" fontId="54" fillId="16" borderId="27" xfId="1" applyNumberFormat="1" applyFont="1" applyFill="1" applyBorder="1"/>
    <xf numFmtId="164" fontId="54" fillId="12" borderId="27" xfId="1" applyNumberFormat="1" applyFont="1" applyFill="1" applyBorder="1"/>
    <xf numFmtId="0" fontId="88" fillId="2" borderId="0" xfId="7" applyFont="1" applyFill="1"/>
    <xf numFmtId="0" fontId="89" fillId="18" borderId="7" xfId="0" applyFont="1" applyFill="1" applyBorder="1" applyAlignment="1">
      <alignment wrapText="1"/>
    </xf>
    <xf numFmtId="0" fontId="0" fillId="18" borderId="7" xfId="0" applyFill="1" applyBorder="1" applyAlignment="1">
      <alignment vertical="top" wrapText="1"/>
    </xf>
    <xf numFmtId="0" fontId="0" fillId="18" borderId="7" xfId="0" applyFill="1" applyBorder="1"/>
    <xf numFmtId="0" fontId="89" fillId="18" borderId="7" xfId="0" applyFont="1" applyFill="1" applyBorder="1" applyAlignment="1">
      <alignment vertical="center"/>
    </xf>
    <xf numFmtId="0" fontId="0" fillId="18" borderId="7" xfId="0" applyFill="1" applyBorder="1" applyAlignment="1">
      <alignment wrapText="1"/>
    </xf>
    <xf numFmtId="0" fontId="90" fillId="18" borderId="7" xfId="0" applyFont="1" applyFill="1" applyBorder="1"/>
    <xf numFmtId="0" fontId="51" fillId="18" borderId="0" xfId="0" applyFont="1" applyFill="1" applyAlignment="1">
      <alignment vertical="center" wrapText="1"/>
    </xf>
    <xf numFmtId="0" fontId="91" fillId="18" borderId="0" xfId="0" applyFont="1" applyFill="1" applyAlignment="1">
      <alignment horizontal="right"/>
    </xf>
    <xf numFmtId="0" fontId="63" fillId="2" borderId="0" xfId="7" applyFont="1" applyFill="1" applyAlignment="1">
      <alignment horizontal="left" vertical="center"/>
    </xf>
    <xf numFmtId="166" fontId="60" fillId="12" borderId="25" xfId="7" applyNumberFormat="1" applyFont="1" applyFill="1" applyBorder="1"/>
    <xf numFmtId="10" fontId="54" fillId="24" borderId="27" xfId="11" applyNumberFormat="1" applyFont="1" applyFill="1" applyBorder="1" applyAlignment="1" applyProtection="1">
      <alignment horizontal="right"/>
      <protection locked="0"/>
    </xf>
    <xf numFmtId="0" fontId="67" fillId="15" borderId="0" xfId="7" applyFont="1" applyFill="1" applyAlignment="1">
      <alignment vertical="center"/>
    </xf>
    <xf numFmtId="0" fontId="55" fillId="15" borderId="0" xfId="0" applyFont="1" applyFill="1" applyAlignment="1">
      <alignment horizontal="center"/>
    </xf>
    <xf numFmtId="0" fontId="55" fillId="25" borderId="0" xfId="0" applyFont="1" applyFill="1" applyAlignment="1" applyProtection="1">
      <alignment horizontal="center" vertical="center"/>
      <protection locked="0"/>
    </xf>
    <xf numFmtId="0" fontId="52" fillId="15" borderId="0" xfId="0" applyFont="1" applyFill="1" applyAlignment="1">
      <alignment horizontal="right" vertical="center" wrapText="1"/>
    </xf>
    <xf numFmtId="0" fontId="65" fillId="15" borderId="0" xfId="0" applyFont="1" applyFill="1"/>
    <xf numFmtId="9" fontId="55" fillId="25" borderId="0" xfId="0" applyNumberFormat="1" applyFont="1" applyFill="1" applyAlignment="1" applyProtection="1">
      <alignment horizontal="center" vertical="center"/>
      <protection locked="0"/>
    </xf>
    <xf numFmtId="168" fontId="55" fillId="25" borderId="0" xfId="0" applyNumberFormat="1" applyFont="1" applyFill="1" applyAlignment="1" applyProtection="1">
      <alignment horizontal="center" vertical="center"/>
      <protection locked="0"/>
    </xf>
    <xf numFmtId="0" fontId="55" fillId="25" borderId="0" xfId="0" applyFont="1" applyFill="1" applyAlignment="1" applyProtection="1">
      <alignment horizontal="center" vertical="center" wrapText="1"/>
      <protection locked="0"/>
    </xf>
    <xf numFmtId="0" fontId="66" fillId="15" borderId="0" xfId="0" applyFont="1" applyFill="1" applyAlignment="1">
      <alignment vertical="center"/>
    </xf>
    <xf numFmtId="0" fontId="66" fillId="15" borderId="2" xfId="0" applyFont="1" applyFill="1" applyBorder="1" applyAlignment="1">
      <alignment vertical="center"/>
    </xf>
    <xf numFmtId="168" fontId="55" fillId="26" borderId="0" xfId="0" applyNumberFormat="1" applyFont="1" applyFill="1" applyAlignment="1">
      <alignment horizontal="center" vertical="center"/>
    </xf>
    <xf numFmtId="0" fontId="66" fillId="15" borderId="2" xfId="0" applyFont="1" applyFill="1" applyBorder="1"/>
    <xf numFmtId="0" fontId="66" fillId="15" borderId="0" xfId="0" applyFont="1" applyFill="1"/>
    <xf numFmtId="168" fontId="55" fillId="25" borderId="0" xfId="0" applyNumberFormat="1" applyFont="1" applyFill="1" applyAlignment="1" applyProtection="1">
      <alignment horizontal="center"/>
      <protection locked="0"/>
    </xf>
    <xf numFmtId="0" fontId="52" fillId="15" borderId="0" xfId="0" applyFont="1" applyFill="1" applyAlignment="1">
      <alignment horizontal="right" wrapText="1"/>
    </xf>
    <xf numFmtId="168" fontId="66" fillId="15" borderId="2" xfId="0" applyNumberFormat="1" applyFont="1" applyFill="1" applyBorder="1" applyAlignment="1">
      <alignment wrapText="1"/>
    </xf>
    <xf numFmtId="168" fontId="66" fillId="15" borderId="0" xfId="0" applyNumberFormat="1" applyFont="1" applyFill="1" applyAlignment="1">
      <alignment wrapText="1"/>
    </xf>
    <xf numFmtId="0" fontId="77" fillId="15" borderId="0" xfId="0" applyFont="1" applyFill="1"/>
    <xf numFmtId="0" fontId="76" fillId="15" borderId="2" xfId="0" applyFont="1" applyFill="1" applyBorder="1"/>
    <xf numFmtId="0" fontId="55" fillId="25" borderId="0" xfId="0" applyFont="1" applyFill="1" applyAlignment="1" applyProtection="1">
      <alignment horizontal="center"/>
      <protection locked="0"/>
    </xf>
    <xf numFmtId="0" fontId="68" fillId="15" borderId="0" xfId="0" applyFont="1" applyFill="1"/>
    <xf numFmtId="0" fontId="52" fillId="15" borderId="0" xfId="0" applyFont="1" applyFill="1" applyAlignment="1">
      <alignment horizontal="right"/>
    </xf>
    <xf numFmtId="0" fontId="60" fillId="15" borderId="0" xfId="0" applyFont="1" applyFill="1" applyAlignment="1">
      <alignment wrapText="1"/>
    </xf>
    <xf numFmtId="0" fontId="52" fillId="15" borderId="0" xfId="0" applyFont="1" applyFill="1" applyAlignment="1">
      <alignment vertical="center" wrapText="1"/>
    </xf>
    <xf numFmtId="9" fontId="55" fillId="25" borderId="0" xfId="0" applyNumberFormat="1" applyFont="1" applyFill="1" applyAlignment="1" applyProtection="1">
      <alignment horizontal="center"/>
      <protection locked="0"/>
    </xf>
    <xf numFmtId="0" fontId="65" fillId="15" borderId="0" xfId="0" applyFont="1" applyFill="1" applyAlignment="1">
      <alignment wrapText="1"/>
    </xf>
    <xf numFmtId="0" fontId="52" fillId="15" borderId="0" xfId="0" applyFont="1" applyFill="1" applyAlignment="1">
      <alignment horizontal="right" vertical="center"/>
    </xf>
    <xf numFmtId="168" fontId="55" fillId="4" borderId="28" xfId="0" applyNumberFormat="1" applyFont="1" applyFill="1" applyBorder="1" applyAlignment="1" applyProtection="1">
      <alignment horizontal="center"/>
      <protection locked="0"/>
    </xf>
    <xf numFmtId="0" fontId="65" fillId="15" borderId="0" xfId="0" applyFont="1" applyFill="1" applyAlignment="1">
      <alignment vertical="center" wrapText="1"/>
    </xf>
    <xf numFmtId="0" fontId="52" fillId="15" borderId="0" xfId="0" applyFont="1" applyFill="1" applyAlignment="1">
      <alignment horizontal="left" vertical="center"/>
    </xf>
    <xf numFmtId="0" fontId="74" fillId="15" borderId="0" xfId="0" applyFont="1" applyFill="1" applyAlignment="1">
      <alignment vertical="center" wrapText="1"/>
    </xf>
    <xf numFmtId="0" fontId="76" fillId="15" borderId="0" xfId="0" applyFont="1" applyFill="1" applyAlignment="1">
      <alignment vertical="center"/>
    </xf>
    <xf numFmtId="0" fontId="65" fillId="15" borderId="0" xfId="0" applyFont="1" applyFill="1" applyAlignment="1">
      <alignment vertical="center"/>
    </xf>
    <xf numFmtId="0" fontId="78" fillId="15" borderId="0" xfId="0" applyFont="1" applyFill="1" applyAlignment="1">
      <alignment vertical="center" wrapText="1"/>
    </xf>
    <xf numFmtId="0" fontId="68" fillId="15" borderId="0" xfId="0" applyFont="1" applyFill="1" applyAlignment="1">
      <alignment vertical="center" wrapText="1"/>
    </xf>
    <xf numFmtId="0" fontId="66" fillId="15" borderId="0" xfId="0" applyFont="1" applyFill="1" applyAlignment="1">
      <alignment vertical="center" wrapText="1"/>
    </xf>
    <xf numFmtId="0" fontId="67" fillId="15" borderId="0" xfId="0" applyFont="1" applyFill="1" applyAlignment="1">
      <alignment vertical="center" wrapText="1"/>
    </xf>
    <xf numFmtId="0" fontId="3" fillId="15" borderId="0" xfId="0" applyFont="1" applyFill="1" applyAlignment="1">
      <alignment wrapText="1"/>
    </xf>
    <xf numFmtId="0" fontId="69" fillId="15" borderId="21" xfId="7" applyFont="1" applyFill="1" applyBorder="1"/>
    <xf numFmtId="0" fontId="72" fillId="18" borderId="0" xfId="0" applyFont="1" applyFill="1" applyAlignment="1">
      <alignment vertical="center"/>
    </xf>
    <xf numFmtId="0" fontId="94" fillId="2" borderId="0" xfId="7" applyFont="1" applyFill="1" applyAlignment="1">
      <alignment vertical="center"/>
    </xf>
    <xf numFmtId="0" fontId="95" fillId="2" borderId="0" xfId="7" applyFont="1" applyFill="1"/>
    <xf numFmtId="0" fontId="96" fillId="2" borderId="0" xfId="7" applyFont="1" applyFill="1"/>
    <xf numFmtId="0" fontId="97" fillId="2" borderId="0" xfId="7" applyFont="1" applyFill="1" applyAlignment="1">
      <alignment vertical="center"/>
    </xf>
    <xf numFmtId="0" fontId="98" fillId="18" borderId="0" xfId="0" applyFont="1" applyFill="1"/>
    <xf numFmtId="0" fontId="64" fillId="0" borderId="29" xfId="0" applyFont="1" applyBorder="1" applyAlignment="1">
      <alignment wrapText="1"/>
    </xf>
    <xf numFmtId="0" fontId="64" fillId="0" borderId="0" xfId="0" applyFont="1" applyAlignment="1">
      <alignment wrapText="1"/>
    </xf>
    <xf numFmtId="0" fontId="99" fillId="0" borderId="0" xfId="0" applyFont="1" applyAlignment="1">
      <alignment wrapText="1"/>
    </xf>
    <xf numFmtId="0" fontId="60" fillId="2" borderId="27" xfId="7" applyFont="1" applyFill="1" applyBorder="1"/>
    <xf numFmtId="182" fontId="60" fillId="2" borderId="24" xfId="12" applyNumberFormat="1" applyFont="1" applyFill="1" applyBorder="1"/>
    <xf numFmtId="44" fontId="100" fillId="14" borderId="0" xfId="12" applyFont="1" applyFill="1" applyBorder="1" applyProtection="1"/>
    <xf numFmtId="44" fontId="101" fillId="14" borderId="0" xfId="12" applyFont="1" applyFill="1" applyBorder="1" applyProtection="1"/>
    <xf numFmtId="170" fontId="101" fillId="15" borderId="0" xfId="7" applyNumberFormat="1" applyFont="1" applyFill="1"/>
    <xf numFmtId="0" fontId="100" fillId="15" borderId="0" xfId="7" applyFont="1" applyFill="1"/>
    <xf numFmtId="0" fontId="60" fillId="2" borderId="30" xfId="7" applyFont="1" applyFill="1" applyBorder="1"/>
    <xf numFmtId="182" fontId="60" fillId="2" borderId="31" xfId="12" applyNumberFormat="1" applyFont="1" applyFill="1" applyBorder="1"/>
    <xf numFmtId="0" fontId="54" fillId="2" borderId="20" xfId="7" applyFont="1" applyFill="1" applyBorder="1"/>
    <xf numFmtId="182" fontId="60" fillId="2" borderId="21" xfId="12" applyNumberFormat="1" applyFont="1" applyFill="1" applyBorder="1"/>
    <xf numFmtId="182" fontId="60" fillId="14" borderId="0" xfId="12" applyNumberFormat="1" applyFont="1" applyFill="1" applyBorder="1" applyProtection="1"/>
    <xf numFmtId="182" fontId="60" fillId="15" borderId="29" xfId="12" applyNumberFormat="1" applyFont="1" applyFill="1" applyBorder="1"/>
    <xf numFmtId="0" fontId="96" fillId="2" borderId="0" xfId="7" applyFont="1" applyFill="1" applyAlignment="1">
      <alignment vertical="center"/>
    </xf>
    <xf numFmtId="0" fontId="64" fillId="15" borderId="0" xfId="0" applyFont="1" applyFill="1" applyAlignment="1">
      <alignment horizontal="left"/>
    </xf>
    <xf numFmtId="44" fontId="60" fillId="14" borderId="0" xfId="12" applyFont="1" applyFill="1" applyBorder="1" applyProtection="1"/>
    <xf numFmtId="182" fontId="60" fillId="15" borderId="0" xfId="7" applyNumberFormat="1" applyFont="1" applyFill="1"/>
    <xf numFmtId="182" fontId="54" fillId="14" borderId="0" xfId="12" applyNumberFormat="1" applyFont="1" applyFill="1" applyBorder="1" applyAlignment="1" applyProtection="1"/>
    <xf numFmtId="182" fontId="64" fillId="15" borderId="0" xfId="0" applyNumberFormat="1" applyFont="1" applyFill="1"/>
    <xf numFmtId="182" fontId="60" fillId="15" borderId="29" xfId="12" applyNumberFormat="1" applyFont="1" applyFill="1" applyBorder="1" applyAlignment="1"/>
    <xf numFmtId="44" fontId="100" fillId="14" borderId="0" xfId="7" applyNumberFormat="1" applyFont="1" applyFill="1"/>
    <xf numFmtId="0" fontId="96" fillId="15" borderId="0" xfId="7" applyFont="1" applyFill="1"/>
    <xf numFmtId="0" fontId="52" fillId="15" borderId="0" xfId="7" applyFont="1" applyFill="1"/>
    <xf numFmtId="0" fontId="101" fillId="13" borderId="0" xfId="7" applyFont="1" applyFill="1"/>
    <xf numFmtId="44" fontId="101" fillId="14" borderId="0" xfId="7" applyNumberFormat="1" applyFont="1" applyFill="1"/>
    <xf numFmtId="0" fontId="0" fillId="0" borderId="0" xfId="0" applyAlignment="1">
      <alignment wrapText="1"/>
    </xf>
    <xf numFmtId="0" fontId="60" fillId="2" borderId="0" xfId="0" applyFont="1" applyFill="1" applyAlignment="1">
      <alignment wrapText="1"/>
    </xf>
    <xf numFmtId="0" fontId="20" fillId="2" borderId="0" xfId="0" applyFont="1" applyFill="1" applyAlignment="1">
      <alignment horizontal="center" vertical="center"/>
    </xf>
    <xf numFmtId="182" fontId="60" fillId="2" borderId="27" xfId="12" applyNumberFormat="1" applyFont="1" applyFill="1" applyBorder="1" applyAlignment="1"/>
    <xf numFmtId="0" fontId="93" fillId="2" borderId="0" xfId="7" applyFont="1" applyFill="1" applyAlignment="1">
      <alignment horizontal="left" vertical="center" wrapText="1"/>
    </xf>
    <xf numFmtId="0" fontId="70" fillId="2" borderId="0" xfId="7" applyFont="1" applyFill="1" applyAlignment="1">
      <alignment horizontal="center" vertical="center"/>
    </xf>
    <xf numFmtId="182" fontId="60" fillId="2" borderId="30" xfId="12" applyNumberFormat="1" applyFont="1" applyFill="1" applyBorder="1" applyAlignment="1"/>
    <xf numFmtId="182" fontId="54" fillId="2" borderId="32" xfId="12" applyNumberFormat="1" applyFont="1" applyFill="1" applyBorder="1" applyAlignment="1"/>
    <xf numFmtId="182" fontId="60" fillId="15" borderId="20" xfId="12" applyNumberFormat="1" applyFont="1" applyFill="1" applyBorder="1" applyAlignment="1"/>
    <xf numFmtId="0" fontId="20" fillId="2" borderId="0" xfId="0" applyFont="1" applyFill="1" applyAlignment="1">
      <alignment horizontal="left" vertical="top" wrapText="1"/>
    </xf>
    <xf numFmtId="0" fontId="46" fillId="20" borderId="0" xfId="10" applyFill="1" applyAlignment="1">
      <alignment horizontal="center" vertical="center"/>
    </xf>
    <xf numFmtId="0" fontId="46" fillId="21" borderId="0" xfId="10" applyFill="1" applyAlignment="1">
      <alignment horizontal="center" vertical="center" wrapText="1"/>
    </xf>
    <xf numFmtId="0" fontId="43" fillId="19" borderId="5" xfId="0" applyFont="1" applyFill="1" applyBorder="1" applyAlignment="1">
      <alignment horizontal="center" vertical="center"/>
    </xf>
    <xf numFmtId="0" fontId="40" fillId="0" borderId="5" xfId="7" applyFont="1" applyBorder="1" applyAlignment="1">
      <alignment horizontal="center"/>
    </xf>
  </cellXfs>
  <cellStyles count="13">
    <cellStyle name="Euro" xfId="1" xr:uid="{00000000-0005-0000-0000-000000000000}"/>
    <cellStyle name="Excel Built-in Linked Cell" xfId="2" xr:uid="{00000000-0005-0000-0000-000001000000}"/>
    <cellStyle name="Hyperlink" xfId="3" builtinId="8"/>
    <cellStyle name="Hyperlink 2" xfId="4" xr:uid="{00000000-0005-0000-0000-000003000000}"/>
    <cellStyle name="Procent" xfId="11" builtinId="5"/>
    <cellStyle name="Procent 2" xfId="5" xr:uid="{00000000-0005-0000-0000-000004000000}"/>
    <cellStyle name="Procent 2 2" xfId="6" xr:uid="{00000000-0005-0000-0000-000005000000}"/>
    <cellStyle name="Standaard" xfId="0" builtinId="0"/>
    <cellStyle name="Standaard 2" xfId="7" xr:uid="{00000000-0005-0000-0000-000007000000}"/>
    <cellStyle name="Standaard 2 2" xfId="10" xr:uid="{00000000-0005-0000-0000-000008000000}"/>
    <cellStyle name="Standaard 3" xfId="8" xr:uid="{00000000-0005-0000-0000-000009000000}"/>
    <cellStyle name="Valuta" xfId="12" builtinId="4"/>
    <cellStyle name="Valuta 2" xfId="9" xr:uid="{00000000-0005-0000-0000-00000A000000}"/>
  </cellStyles>
  <dxfs count="58">
    <dxf>
      <font>
        <color rgb="FF7030A0"/>
      </font>
    </dxf>
    <dxf>
      <font>
        <color rgb="FF7030A0"/>
      </font>
    </dxf>
    <dxf>
      <font>
        <color rgb="FF7030A0"/>
      </font>
    </dxf>
    <dxf>
      <font>
        <color rgb="FF7030A0"/>
      </font>
    </dxf>
    <dxf>
      <font>
        <color rgb="FF7030A0"/>
      </font>
    </dxf>
    <dxf>
      <font>
        <color rgb="FF7030A0"/>
      </font>
    </dxf>
    <dxf>
      <font>
        <color rgb="FF7030A0"/>
      </font>
    </dxf>
    <dxf>
      <font>
        <color rgb="FF7030A0"/>
      </font>
    </dxf>
    <dxf>
      <font>
        <color rgb="FF7030A0"/>
      </font>
    </dxf>
    <dxf>
      <font>
        <color theme="0"/>
      </font>
      <fill>
        <patternFill>
          <bgColor theme="0"/>
        </patternFill>
      </fill>
    </dxf>
    <dxf>
      <font>
        <color theme="0"/>
      </font>
      <fill>
        <patternFill>
          <fgColor theme="0"/>
        </patternFill>
      </fill>
      <border>
        <left/>
        <right/>
        <top/>
        <vertical/>
        <horizontal/>
      </border>
    </dxf>
    <dxf>
      <font>
        <color theme="0"/>
      </font>
      <fill>
        <patternFill>
          <f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bgColor theme="0"/>
        </patternFill>
      </fill>
      <border>
        <left/>
        <right/>
        <top/>
        <bottom/>
      </border>
    </dxf>
    <dxf>
      <font>
        <color theme="0"/>
      </font>
      <fill>
        <patternFill>
          <bgColor theme="0"/>
        </patternFill>
      </fill>
    </dxf>
    <dxf>
      <font>
        <color theme="0"/>
      </font>
      <fill>
        <patternFill>
          <bgColor theme="0"/>
        </patternFill>
      </fill>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bgColor theme="0"/>
        </patternFill>
      </fill>
      <border>
        <left/>
        <right/>
        <top/>
        <bottom/>
      </border>
    </dxf>
    <dxf>
      <font>
        <color theme="0"/>
      </font>
    </dxf>
    <dxf>
      <font>
        <color theme="0"/>
      </font>
    </dxf>
    <dxf>
      <font>
        <color theme="0"/>
      </font>
    </dxf>
    <dxf>
      <fill>
        <patternFill patternType="solid">
          <bgColor theme="0"/>
        </patternFill>
      </fill>
      <border>
        <left/>
        <right/>
        <top/>
        <bottom/>
        <vertical/>
        <horizontal/>
      </border>
    </dxf>
    <dxf>
      <fill>
        <patternFill>
          <bgColor theme="0"/>
        </patternFill>
      </fill>
      <border>
        <left/>
        <right/>
        <top/>
        <bottom/>
        <vertical/>
        <horizontal/>
      </border>
    </dxf>
    <dxf>
      <fill>
        <patternFill>
          <bgColor theme="0"/>
        </patternFill>
      </fill>
      <border>
        <left/>
        <right/>
        <top/>
        <bottom/>
        <vertical/>
        <horizontal/>
      </border>
    </dxf>
    <dxf>
      <fill>
        <patternFill>
          <bgColor theme="0"/>
        </patternFill>
      </fill>
      <border>
        <left/>
        <right/>
        <top/>
        <bottom/>
        <vertical/>
        <horizontal/>
      </border>
    </dxf>
    <dxf>
      <fill>
        <patternFill>
          <bgColor theme="0"/>
        </patternFill>
      </fill>
      <border>
        <left/>
        <right/>
        <top/>
        <bottom/>
        <vertical/>
        <horizontal/>
      </border>
    </dxf>
    <dxf>
      <fill>
        <patternFill>
          <bgColor theme="0"/>
        </patternFill>
      </fill>
      <border>
        <left/>
        <right/>
        <top/>
        <bottom/>
        <vertical/>
        <horizontal/>
      </border>
    </dxf>
    <dxf>
      <fill>
        <patternFill>
          <bgColor theme="0"/>
        </patternFill>
      </fill>
      <border>
        <left/>
        <right/>
        <top/>
        <bottom/>
      </border>
    </dxf>
    <dxf>
      <font>
        <color theme="0"/>
      </font>
      <fill>
        <patternFill patternType="none">
          <bgColor auto="1"/>
        </patternFill>
      </fill>
    </dxf>
    <dxf>
      <fill>
        <patternFill>
          <bgColor theme="0"/>
        </patternFill>
      </fill>
      <border>
        <left/>
        <right/>
        <top/>
        <bottom/>
        <vertical/>
        <horizontal/>
      </border>
    </dxf>
    <dxf>
      <fill>
        <patternFill>
          <bgColor theme="0"/>
        </patternFill>
      </fill>
      <border>
        <left/>
        <right/>
        <top/>
        <bottom/>
        <vertical/>
        <horizontal/>
      </border>
    </dxf>
    <dxf>
      <fill>
        <patternFill>
          <bgColor theme="0"/>
        </patternFill>
      </fill>
      <border>
        <left/>
        <right/>
        <top/>
        <bottom/>
        <vertical/>
        <horizontal/>
      </border>
    </dxf>
    <dxf>
      <fill>
        <patternFill>
          <bgColor theme="0"/>
        </patternFill>
      </fill>
      <border>
        <left/>
        <right/>
        <top/>
        <bottom/>
        <vertical/>
        <horizontal/>
      </border>
    </dxf>
    <dxf>
      <font>
        <color theme="0"/>
      </font>
      <fill>
        <patternFill patternType="solid">
          <bgColor theme="0"/>
        </patternFill>
      </fill>
    </dxf>
    <dxf>
      <font>
        <color theme="0"/>
      </font>
      <fill>
        <patternFill>
          <bgColor theme="0"/>
        </patternFill>
      </fill>
      <border>
        <left/>
        <right/>
        <top/>
        <bottom/>
        <vertical/>
        <horizontal/>
      </border>
    </dxf>
    <dxf>
      <font>
        <color theme="0"/>
      </font>
      <fill>
        <patternFill>
          <bgColor theme="0"/>
        </patternFill>
      </fill>
    </dxf>
    <dxf>
      <fill>
        <patternFill>
          <fgColor theme="0"/>
          <bgColor theme="0"/>
        </patternFill>
      </fill>
      <border>
        <left/>
        <right/>
        <top/>
        <bottom/>
        <vertical/>
        <horizontal/>
      </border>
    </dxf>
    <dxf>
      <fill>
        <patternFill>
          <bgColor theme="0"/>
        </patternFill>
      </fill>
      <border>
        <left/>
        <right/>
        <top/>
        <bottom/>
      </border>
    </dxf>
    <dxf>
      <fill>
        <patternFill>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border>
    </dxf>
    <dxf>
      <fill>
        <patternFill>
          <bgColor theme="0"/>
        </patternFill>
      </fill>
      <border>
        <left/>
        <right/>
        <top/>
        <bottom/>
        <vertical/>
        <horizontal/>
      </border>
    </dxf>
    <dxf>
      <fill>
        <patternFill>
          <bgColor theme="0"/>
        </patternFill>
      </fill>
      <border>
        <left/>
        <right/>
        <top/>
        <bottom/>
        <vertical/>
        <horizontal/>
      </border>
    </dxf>
    <dxf>
      <fill>
        <patternFill>
          <bgColor theme="0"/>
        </patternFill>
      </fill>
      <border>
        <left/>
        <right/>
        <top/>
        <bottom/>
        <vertical/>
        <horizontal/>
      </border>
    </dxf>
    <dxf>
      <fill>
        <patternFill patternType="solid">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patternFill>
      </fill>
      <border>
        <left/>
        <right/>
        <top/>
        <bottom/>
        <vertical/>
        <horizontal/>
      </border>
    </dxf>
    <dxf>
      <fill>
        <patternFill>
          <fgColor theme="0"/>
          <bgColor theme="0"/>
        </patternFill>
      </fill>
      <border>
        <left/>
        <right/>
        <top/>
        <bottom/>
        <vertical/>
        <horizontal/>
      </border>
    </dxf>
    <dxf>
      <font>
        <color theme="0"/>
      </font>
      <fill>
        <patternFill>
          <fgColor theme="0"/>
        </patternFill>
      </fill>
      <border>
        <left/>
        <right/>
        <top/>
        <bottom/>
        <vertical/>
        <horizontal/>
      </border>
    </dxf>
    <dxf>
      <font>
        <color theme="0"/>
      </font>
    </dxf>
    <dxf>
      <font>
        <color theme="0"/>
      </font>
      <fill>
        <patternFill>
          <fgColor theme="0"/>
        </patternFill>
      </fill>
      <border>
        <left/>
        <right/>
        <top/>
        <bottom/>
        <vertical/>
        <horizontal/>
      </border>
    </dxf>
    <dxf>
      <font>
        <color theme="0"/>
      </font>
      <fill>
        <patternFill>
          <fgColor theme="0"/>
          <bgColor theme="0"/>
        </patternFill>
      </fill>
      <border>
        <left/>
        <right/>
        <top/>
        <bottom/>
        <vertical/>
        <horizontal/>
      </border>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BFBFBF"/>
      <rgbColor rgb="00808080"/>
      <rgbColor rgb="009999FF"/>
      <rgbColor rgb="00993366"/>
      <rgbColor rgb="00FDEADA"/>
      <rgbColor rgb="00DCE6F2"/>
      <rgbColor rgb="00660066"/>
      <rgbColor rgb="00F79646"/>
      <rgbColor rgb="000066CC"/>
      <rgbColor rgb="00C6D9F1"/>
      <rgbColor rgb="00000080"/>
      <rgbColor rgb="00FF00FF"/>
      <rgbColor rgb="00FFFF00"/>
      <rgbColor rgb="0000FFFF"/>
      <rgbColor rgb="00800080"/>
      <rgbColor rgb="00800000"/>
      <rgbColor rgb="00008080"/>
      <rgbColor rgb="000000FF"/>
      <rgbColor rgb="0000CCFF"/>
      <rgbColor rgb="00CCFFFF"/>
      <rgbColor rgb="00D9D9D9"/>
      <rgbColor rgb="00FFFF99"/>
      <rgbColor rgb="00B9CDE5"/>
      <rgbColor rgb="00FF99CC"/>
      <rgbColor rgb="00CC99FF"/>
      <rgbColor rgb="00FFCC99"/>
      <rgbColor rgb="003366FF"/>
      <rgbColor rgb="0033CCCC"/>
      <rgbColor rgb="0099CC00"/>
      <rgbColor rgb="00FFCC00"/>
      <rgbColor rgb="00FF8001"/>
      <rgbColor rgb="00FF6600"/>
      <rgbColor rgb="00666666"/>
      <rgbColor rgb="00A6A6A6"/>
      <rgbColor rgb="00002060"/>
      <rgbColor rgb="00339966"/>
      <rgbColor rgb="00003300"/>
      <rgbColor rgb="00333300"/>
      <rgbColor rgb="00993300"/>
      <rgbColor rgb="00993366"/>
      <rgbColor rgb="00232572"/>
      <rgbColor rgb="001F497D"/>
    </indexedColors>
    <mruColors>
      <color rgb="FFFF6600"/>
      <color rgb="FF232572"/>
      <color rgb="FFC5C6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jpeg"/><Relationship Id="rId1" Type="http://schemas.openxmlformats.org/officeDocument/2006/relationships/image" Target="../media/image3.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1171575</xdr:colOff>
      <xdr:row>18</xdr:row>
      <xdr:rowOff>0</xdr:rowOff>
    </xdr:from>
    <xdr:to>
      <xdr:col>1</xdr:col>
      <xdr:colOff>1177290</xdr:colOff>
      <xdr:row>18</xdr:row>
      <xdr:rowOff>32385</xdr:rowOff>
    </xdr:to>
    <xdr:pic>
      <xdr:nvPicPr>
        <xdr:cNvPr id="5" name="Picture 8">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9700" y="6962775"/>
          <a:ext cx="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7458075</xdr:colOff>
      <xdr:row>0</xdr:row>
      <xdr:rowOff>76200</xdr:rowOff>
    </xdr:from>
    <xdr:to>
      <xdr:col>2</xdr:col>
      <xdr:colOff>194175</xdr:colOff>
      <xdr:row>0</xdr:row>
      <xdr:rowOff>1146675</xdr:rowOff>
    </xdr:to>
    <xdr:pic>
      <xdr:nvPicPr>
        <xdr:cNvPr id="7" name="Afbeelding 6" descr="Afbeelding met logo, cirkel, Lettertype, Elektrisch blauw&#10;&#10;Automatisch gegenereerde beschrijving">
          <a:extLst>
            <a:ext uri="{FF2B5EF4-FFF2-40B4-BE49-F238E27FC236}">
              <a16:creationId xmlns:a16="http://schemas.microsoft.com/office/drawing/2014/main" id="{558A21DF-32DE-44DE-B5A5-1D6955215B41}"/>
            </a:ext>
          </a:extLst>
        </xdr:cNvPr>
        <xdr:cNvPicPr>
          <a:picLocks/>
        </xdr:cNvPicPr>
      </xdr:nvPicPr>
      <xdr:blipFill>
        <a:blip xmlns:r="http://schemas.openxmlformats.org/officeDocument/2006/relationships" r:embed="rId2"/>
        <a:stretch>
          <a:fillRect/>
        </a:stretch>
      </xdr:blipFill>
      <xdr:spPr>
        <a:xfrm>
          <a:off x="7696200" y="76200"/>
          <a:ext cx="1080000" cy="108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1047750</xdr:colOff>
      <xdr:row>25</xdr:row>
      <xdr:rowOff>161925</xdr:rowOff>
    </xdr:from>
    <xdr:to>
      <xdr:col>1</xdr:col>
      <xdr:colOff>5715000</xdr:colOff>
      <xdr:row>35</xdr:row>
      <xdr:rowOff>171450</xdr:rowOff>
    </xdr:to>
    <xdr:pic>
      <xdr:nvPicPr>
        <xdr:cNvPr id="1298" name="Picture 2">
          <a:extLst>
            <a:ext uri="{FF2B5EF4-FFF2-40B4-BE49-F238E27FC236}">
              <a16:creationId xmlns:a16="http://schemas.microsoft.com/office/drawing/2014/main" id="{00000000-0008-0000-0100-00001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5875" y="10372725"/>
          <a:ext cx="4667250" cy="19145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4676775</xdr:colOff>
      <xdr:row>0</xdr:row>
      <xdr:rowOff>28575</xdr:rowOff>
    </xdr:from>
    <xdr:to>
      <xdr:col>2</xdr:col>
      <xdr:colOff>200025</xdr:colOff>
      <xdr:row>0</xdr:row>
      <xdr:rowOff>1114425</xdr:rowOff>
    </xdr:to>
    <xdr:pic>
      <xdr:nvPicPr>
        <xdr:cNvPr id="1299" name="Afbeelding 1">
          <a:extLst>
            <a:ext uri="{FF2B5EF4-FFF2-40B4-BE49-F238E27FC236}">
              <a16:creationId xmlns:a16="http://schemas.microsoft.com/office/drawing/2014/main" id="{00000000-0008-0000-0100-00001305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14900" y="28575"/>
          <a:ext cx="3857625" cy="10858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1</xdr:col>
      <xdr:colOff>914400</xdr:colOff>
      <xdr:row>23</xdr:row>
      <xdr:rowOff>0</xdr:rowOff>
    </xdr:from>
    <xdr:to>
      <xdr:col>1</xdr:col>
      <xdr:colOff>914400</xdr:colOff>
      <xdr:row>27</xdr:row>
      <xdr:rowOff>85725</xdr:rowOff>
    </xdr:to>
    <xdr:pic>
      <xdr:nvPicPr>
        <xdr:cNvPr id="1300" name="Picture 6">
          <a:extLst>
            <a:ext uri="{FF2B5EF4-FFF2-40B4-BE49-F238E27FC236}">
              <a16:creationId xmlns:a16="http://schemas.microsoft.com/office/drawing/2014/main" id="{00000000-0008-0000-0100-00001405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52525" y="9686925"/>
          <a:ext cx="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1171575</xdr:colOff>
      <xdr:row>18</xdr:row>
      <xdr:rowOff>123825</xdr:rowOff>
    </xdr:from>
    <xdr:to>
      <xdr:col>1</xdr:col>
      <xdr:colOff>1171575</xdr:colOff>
      <xdr:row>18</xdr:row>
      <xdr:rowOff>161925</xdr:rowOff>
    </xdr:to>
    <xdr:pic>
      <xdr:nvPicPr>
        <xdr:cNvPr id="1301" name="Picture 8">
          <a:extLst>
            <a:ext uri="{FF2B5EF4-FFF2-40B4-BE49-F238E27FC236}">
              <a16:creationId xmlns:a16="http://schemas.microsoft.com/office/drawing/2014/main" id="{00000000-0008-0000-0100-00001505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409700" y="5400675"/>
          <a:ext cx="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1171575</xdr:colOff>
      <xdr:row>20</xdr:row>
      <xdr:rowOff>123825</xdr:rowOff>
    </xdr:from>
    <xdr:to>
      <xdr:col>1</xdr:col>
      <xdr:colOff>1171575</xdr:colOff>
      <xdr:row>20</xdr:row>
      <xdr:rowOff>161925</xdr:rowOff>
    </xdr:to>
    <xdr:pic>
      <xdr:nvPicPr>
        <xdr:cNvPr id="1302" name="Picture 8">
          <a:extLst>
            <a:ext uri="{FF2B5EF4-FFF2-40B4-BE49-F238E27FC236}">
              <a16:creationId xmlns:a16="http://schemas.microsoft.com/office/drawing/2014/main" id="{00000000-0008-0000-0100-00001605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409700" y="6962775"/>
          <a:ext cx="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219075</xdr:colOff>
      <xdr:row>18</xdr:row>
      <xdr:rowOff>247650</xdr:rowOff>
    </xdr:from>
    <xdr:to>
      <xdr:col>2</xdr:col>
      <xdr:colOff>28575</xdr:colOff>
      <xdr:row>18</xdr:row>
      <xdr:rowOff>1323975</xdr:rowOff>
    </xdr:to>
    <xdr:pic>
      <xdr:nvPicPr>
        <xdr:cNvPr id="1303" name="Afbeelding 22">
          <a:extLst>
            <a:ext uri="{FF2B5EF4-FFF2-40B4-BE49-F238E27FC236}">
              <a16:creationId xmlns:a16="http://schemas.microsoft.com/office/drawing/2014/main" id="{00000000-0008-0000-0100-000017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19075" y="5524500"/>
          <a:ext cx="8382000" cy="1076325"/>
        </a:xfrm>
        <a:prstGeom prst="rect">
          <a:avLst/>
        </a:prstGeom>
        <a:noFill/>
        <a:ln w="9525">
          <a:solidFill>
            <a:srgbClr val="666666"/>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20</xdr:row>
      <xdr:rowOff>304800</xdr:rowOff>
    </xdr:from>
    <xdr:to>
      <xdr:col>1</xdr:col>
      <xdr:colOff>8105775</xdr:colOff>
      <xdr:row>20</xdr:row>
      <xdr:rowOff>1800225</xdr:rowOff>
    </xdr:to>
    <xdr:pic>
      <xdr:nvPicPr>
        <xdr:cNvPr id="1304" name="Afbeelding 23">
          <a:extLst>
            <a:ext uri="{FF2B5EF4-FFF2-40B4-BE49-F238E27FC236}">
              <a16:creationId xmlns:a16="http://schemas.microsoft.com/office/drawing/2014/main" id="{00000000-0008-0000-0100-000018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38125" y="7143750"/>
          <a:ext cx="8105775" cy="1495425"/>
        </a:xfrm>
        <a:prstGeom prst="rect">
          <a:avLst/>
        </a:prstGeom>
        <a:noFill/>
        <a:ln w="9525">
          <a:solidFill>
            <a:srgbClr val="666666"/>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571500</xdr:colOff>
      <xdr:row>0</xdr:row>
      <xdr:rowOff>66675</xdr:rowOff>
    </xdr:from>
    <xdr:to>
      <xdr:col>8</xdr:col>
      <xdr:colOff>605655</xdr:colOff>
      <xdr:row>0</xdr:row>
      <xdr:rowOff>1146675</xdr:rowOff>
    </xdr:to>
    <xdr:pic>
      <xdr:nvPicPr>
        <xdr:cNvPr id="2" name="Afbeelding 1" descr="Afbeelding met logo, cirkel, Lettertype, Elektrisch blauw&#10;&#10;Automatisch gegenereerde beschrijving">
          <a:extLst>
            <a:ext uri="{FF2B5EF4-FFF2-40B4-BE49-F238E27FC236}">
              <a16:creationId xmlns:a16="http://schemas.microsoft.com/office/drawing/2014/main" id="{727BE92F-A407-4602-95CA-9B152E9D4E7B}"/>
            </a:ext>
          </a:extLst>
        </xdr:cNvPr>
        <xdr:cNvPicPr>
          <a:picLocks/>
        </xdr:cNvPicPr>
      </xdr:nvPicPr>
      <xdr:blipFill>
        <a:blip xmlns:r="http://schemas.openxmlformats.org/officeDocument/2006/relationships" r:embed="rId1"/>
        <a:stretch>
          <a:fillRect/>
        </a:stretch>
      </xdr:blipFill>
      <xdr:spPr>
        <a:xfrm>
          <a:off x="8324850" y="66675"/>
          <a:ext cx="1080000" cy="108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2695575</xdr:colOff>
      <xdr:row>0</xdr:row>
      <xdr:rowOff>152400</xdr:rowOff>
    </xdr:from>
    <xdr:to>
      <xdr:col>7</xdr:col>
      <xdr:colOff>994275</xdr:colOff>
      <xdr:row>1</xdr:row>
      <xdr:rowOff>51300</xdr:rowOff>
    </xdr:to>
    <xdr:pic>
      <xdr:nvPicPr>
        <xdr:cNvPr id="2" name="Afbeelding 1" descr="Afbeelding met logo, cirkel, Lettertype, Elektrisch blauw&#10;&#10;Automatisch gegenereerde beschrijving">
          <a:extLst>
            <a:ext uri="{FF2B5EF4-FFF2-40B4-BE49-F238E27FC236}">
              <a16:creationId xmlns:a16="http://schemas.microsoft.com/office/drawing/2014/main" id="{3E9E627A-067B-4402-92A9-AFA2F5A8CC55}"/>
            </a:ext>
          </a:extLst>
        </xdr:cNvPr>
        <xdr:cNvPicPr>
          <a:picLocks/>
        </xdr:cNvPicPr>
      </xdr:nvPicPr>
      <xdr:blipFill>
        <a:blip xmlns:r="http://schemas.openxmlformats.org/officeDocument/2006/relationships" r:embed="rId1"/>
        <a:stretch>
          <a:fillRect/>
        </a:stretch>
      </xdr:blipFill>
      <xdr:spPr>
        <a:xfrm>
          <a:off x="9429750" y="152400"/>
          <a:ext cx="1080000" cy="108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14</xdr:col>
      <xdr:colOff>228600</xdr:colOff>
      <xdr:row>0</xdr:row>
      <xdr:rowOff>95250</xdr:rowOff>
    </xdr:from>
    <xdr:to>
      <xdr:col>15</xdr:col>
      <xdr:colOff>605655</xdr:colOff>
      <xdr:row>1</xdr:row>
      <xdr:rowOff>537</xdr:rowOff>
    </xdr:to>
    <xdr:pic>
      <xdr:nvPicPr>
        <xdr:cNvPr id="2" name="Afbeelding 1" descr="Afbeelding met logo, cirkel, Lettertype, Elektrisch blauw&#10;&#10;Automatisch gegenereerde beschrijving">
          <a:extLst>
            <a:ext uri="{FF2B5EF4-FFF2-40B4-BE49-F238E27FC236}">
              <a16:creationId xmlns:a16="http://schemas.microsoft.com/office/drawing/2014/main" id="{0F300120-3E84-49CE-B052-0CA4022A9996}"/>
            </a:ext>
          </a:extLst>
        </xdr:cNvPr>
        <xdr:cNvPicPr>
          <a:picLocks/>
        </xdr:cNvPicPr>
      </xdr:nvPicPr>
      <xdr:blipFill>
        <a:blip xmlns:r="http://schemas.openxmlformats.org/officeDocument/2006/relationships" r:embed="rId1"/>
        <a:stretch>
          <a:fillRect/>
        </a:stretch>
      </xdr:blipFill>
      <xdr:spPr>
        <a:xfrm>
          <a:off x="10810875" y="95250"/>
          <a:ext cx="1080000" cy="108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0</xdr:colOff>
      <xdr:row>0</xdr:row>
      <xdr:rowOff>171450</xdr:rowOff>
    </xdr:from>
    <xdr:to>
      <xdr:col>8</xdr:col>
      <xdr:colOff>28440</xdr:colOff>
      <xdr:row>1</xdr:row>
      <xdr:rowOff>72255</xdr:rowOff>
    </xdr:to>
    <xdr:pic>
      <xdr:nvPicPr>
        <xdr:cNvPr id="2" name="Afbeelding 1" descr="Afbeelding met logo, cirkel, Lettertype, Elektrisch blauw&#10;&#10;Automatisch gegenereerde beschrijving">
          <a:extLst>
            <a:ext uri="{FF2B5EF4-FFF2-40B4-BE49-F238E27FC236}">
              <a16:creationId xmlns:a16="http://schemas.microsoft.com/office/drawing/2014/main" id="{C51C0E51-33D3-4CE7-BC17-F2C1179F4CE3}"/>
            </a:ext>
          </a:extLst>
        </xdr:cNvPr>
        <xdr:cNvPicPr>
          <a:picLocks/>
        </xdr:cNvPicPr>
      </xdr:nvPicPr>
      <xdr:blipFill>
        <a:blip xmlns:r="http://schemas.openxmlformats.org/officeDocument/2006/relationships" r:embed="rId1"/>
        <a:stretch>
          <a:fillRect/>
        </a:stretch>
      </xdr:blipFill>
      <xdr:spPr>
        <a:xfrm>
          <a:off x="8639175" y="171450"/>
          <a:ext cx="1080000" cy="108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619125</xdr:colOff>
      <xdr:row>0</xdr:row>
      <xdr:rowOff>161925</xdr:rowOff>
    </xdr:from>
    <xdr:to>
      <xdr:col>10</xdr:col>
      <xdr:colOff>3675</xdr:colOff>
      <xdr:row>1</xdr:row>
      <xdr:rowOff>60825</xdr:rowOff>
    </xdr:to>
    <xdr:pic>
      <xdr:nvPicPr>
        <xdr:cNvPr id="2" name="Afbeelding 1" descr="Afbeelding met logo, cirkel, Lettertype, Elektrisch blauw&#10;&#10;Automatisch gegenereerde beschrijving">
          <a:extLst>
            <a:ext uri="{FF2B5EF4-FFF2-40B4-BE49-F238E27FC236}">
              <a16:creationId xmlns:a16="http://schemas.microsoft.com/office/drawing/2014/main" id="{328199A3-5FF2-4C28-A129-6FC935FD334F}"/>
            </a:ext>
          </a:extLst>
        </xdr:cNvPr>
        <xdr:cNvPicPr>
          <a:picLocks/>
        </xdr:cNvPicPr>
      </xdr:nvPicPr>
      <xdr:blipFill>
        <a:blip xmlns:r="http://schemas.openxmlformats.org/officeDocument/2006/relationships" r:embed="rId1"/>
        <a:stretch>
          <a:fillRect/>
        </a:stretch>
      </xdr:blipFill>
      <xdr:spPr>
        <a:xfrm>
          <a:off x="7658100" y="161925"/>
          <a:ext cx="1080000" cy="108000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qredits.nl/krediet/"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www.qredits.nl/ondernemerstools/ondernemingsplansjabloon/toelichting.html"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qredits.nl/zakelijk-krediet" TargetMode="External"/><Relationship Id="rId1" Type="http://schemas.openxmlformats.org/officeDocument/2006/relationships/hyperlink" Target="https://qredits.nl/zakelijk-krediet"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6600"/>
    <pageSetUpPr fitToPage="1"/>
  </sheetPr>
  <dimension ref="A1:AI90"/>
  <sheetViews>
    <sheetView tabSelected="1" zoomScaleNormal="100" workbookViewId="0">
      <selection activeCell="B7" sqref="B7"/>
    </sheetView>
  </sheetViews>
  <sheetFormatPr defaultColWidth="3.140625" defaultRowHeight="15" x14ac:dyDescent="0.2"/>
  <cols>
    <col min="1" max="1" width="3.5703125" style="1" customWidth="1"/>
    <col min="2" max="2" width="125" style="1" customWidth="1"/>
    <col min="3" max="3" width="3.5703125" style="1" customWidth="1"/>
    <col min="4" max="255" width="9.140625" style="1" customWidth="1"/>
    <col min="256" max="16384" width="3.140625" style="1"/>
  </cols>
  <sheetData>
    <row r="1" spans="1:35" s="3" customFormat="1" ht="93" customHeight="1" x14ac:dyDescent="0.25">
      <c r="A1" s="1"/>
      <c r="B1" s="171" t="str">
        <f>Vertaling!A4</f>
        <v>Financieel plan</v>
      </c>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row>
    <row r="2" spans="1:35" x14ac:dyDescent="0.2">
      <c r="A2" s="10"/>
      <c r="B2" s="4"/>
      <c r="C2" s="10"/>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row>
    <row r="3" spans="1:35" ht="25.5" x14ac:dyDescent="0.2">
      <c r="A3" s="10"/>
      <c r="B3" s="172" t="str">
        <f>Vertaling!A5</f>
        <v>Let op! Voordat je verder gaat moet het bestand worden opgeslagen op jouw computer. Dit doe je via Bestand -&gt; Opslaan als, of met F12.</v>
      </c>
      <c r="C3" s="10"/>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row>
    <row r="4" spans="1:35" x14ac:dyDescent="0.2">
      <c r="A4" s="10"/>
      <c r="B4" s="4"/>
      <c r="C4" s="10"/>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row>
    <row r="5" spans="1:35" ht="30" customHeight="1" x14ac:dyDescent="0.2">
      <c r="A5" s="10"/>
      <c r="B5" s="173" t="s">
        <v>0</v>
      </c>
      <c r="C5" s="39"/>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row>
    <row r="6" spans="1:35" x14ac:dyDescent="0.2">
      <c r="A6" s="10"/>
      <c r="C6" s="40"/>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row>
    <row r="7" spans="1:35" ht="18" customHeight="1" x14ac:dyDescent="0.2">
      <c r="A7" s="10"/>
      <c r="B7" s="174" t="s">
        <v>1</v>
      </c>
      <c r="C7" s="40"/>
      <c r="D7" s="44"/>
      <c r="E7" s="45"/>
      <c r="F7" s="44"/>
      <c r="G7" s="44"/>
      <c r="H7" s="44"/>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row>
    <row r="8" spans="1:35" ht="30" customHeight="1" x14ac:dyDescent="0.2">
      <c r="A8" s="10"/>
      <c r="B8" s="175" t="str">
        <f>Vertaling!A6</f>
        <v>Introductie</v>
      </c>
      <c r="C8" s="39"/>
      <c r="D8" s="44"/>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row>
    <row r="9" spans="1:35" ht="30" customHeight="1" x14ac:dyDescent="0.2">
      <c r="A9" s="10"/>
      <c r="B9" s="176" t="str">
        <f>Vertaling!A7</f>
        <v>Het maken van een financieel plan is een belangrijk onderdeel van je ondernemingsplan, zeker als je een financiering wilt aanvragen. Een compleet financieel plan bestaat minimaal uit onderstaande begrotingen. Klik op de onderstaande begrotingen om ze te bekijken.</v>
      </c>
      <c r="C9" s="40"/>
      <c r="D9" s="44"/>
      <c r="E9" s="44"/>
      <c r="F9" s="44"/>
      <c r="G9" s="44"/>
      <c r="H9" s="44"/>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row>
    <row r="10" spans="1:35" ht="18" customHeight="1" x14ac:dyDescent="0.2">
      <c r="A10" s="10"/>
      <c r="B10" s="177" t="str">
        <f>Vertaling!A8</f>
        <v xml:space="preserve">    Privébegroting</v>
      </c>
      <c r="C10" s="40"/>
      <c r="D10" s="44"/>
      <c r="E10" s="45"/>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row>
    <row r="11" spans="1:35" ht="18" customHeight="1" x14ac:dyDescent="0.2">
      <c r="A11" s="10"/>
      <c r="B11" s="177" t="str">
        <f>Vertaling!A9</f>
        <v xml:space="preserve">    Investeringsbegroting</v>
      </c>
      <c r="C11" s="40"/>
      <c r="D11" s="44"/>
      <c r="E11" s="45"/>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row>
    <row r="12" spans="1:35" ht="18" customHeight="1" x14ac:dyDescent="0.2">
      <c r="A12" s="10"/>
      <c r="B12" s="177" t="str">
        <f>Vertaling!A10</f>
        <v xml:space="preserve">    Financieringsbegroting</v>
      </c>
      <c r="C12" s="41"/>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row>
    <row r="13" spans="1:35" ht="18" customHeight="1" x14ac:dyDescent="0.2">
      <c r="A13" s="10"/>
      <c r="B13" s="177" t="str">
        <f>Vertaling!A11</f>
        <v xml:space="preserve">    Exploitatiebegroting</v>
      </c>
      <c r="C13" s="40"/>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row>
    <row r="14" spans="1:35" ht="18" customHeight="1" x14ac:dyDescent="0.2">
      <c r="A14" s="10"/>
      <c r="B14" s="177" t="str">
        <f>Vertaling!A12</f>
        <v xml:space="preserve">    Liquiditeitsbegroting</v>
      </c>
      <c r="C14" s="40"/>
      <c r="D14" s="44"/>
      <c r="E14" s="44"/>
      <c r="F14" s="44"/>
      <c r="G14" s="44"/>
      <c r="H14" s="44"/>
      <c r="I14" s="44"/>
      <c r="J14" s="44"/>
      <c r="K14" s="44"/>
      <c r="L14" s="44"/>
      <c r="M14" s="44"/>
      <c r="N14" s="44"/>
      <c r="O14" s="44"/>
      <c r="P14" s="44"/>
      <c r="Q14" s="44"/>
      <c r="R14" s="44"/>
      <c r="S14" s="44"/>
      <c r="T14" s="44"/>
      <c r="U14" s="44"/>
      <c r="V14" s="44"/>
      <c r="W14" s="44"/>
      <c r="X14" s="44"/>
      <c r="Y14" s="44"/>
      <c r="Z14" s="44"/>
      <c r="AA14" s="44"/>
      <c r="AB14" s="44"/>
      <c r="AC14" s="44"/>
      <c r="AD14" s="44"/>
      <c r="AE14" s="44"/>
      <c r="AF14" s="44"/>
      <c r="AG14" s="44"/>
      <c r="AH14" s="44"/>
      <c r="AI14" s="44"/>
    </row>
    <row r="15" spans="1:35" ht="14.25" customHeight="1" x14ac:dyDescent="0.2">
      <c r="A15" s="10"/>
      <c r="B15" s="8"/>
      <c r="C15" s="40"/>
      <c r="D15" s="44"/>
      <c r="E15" s="44"/>
      <c r="F15" s="44"/>
      <c r="G15" s="44"/>
      <c r="H15" s="44"/>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4"/>
    </row>
    <row r="16" spans="1:35" ht="23.25" x14ac:dyDescent="0.2">
      <c r="A16" s="59"/>
      <c r="B16" s="178" t="str">
        <f>Vertaling!A13</f>
        <v>Hoe in te vullen?</v>
      </c>
      <c r="C16" s="41"/>
      <c r="D16" s="44"/>
      <c r="E16" s="44"/>
      <c r="F16" s="44"/>
      <c r="G16" s="44"/>
      <c r="H16" s="44"/>
      <c r="I16" s="44"/>
      <c r="J16" s="44"/>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44"/>
    </row>
    <row r="17" spans="1:35" ht="127.5" x14ac:dyDescent="0.2">
      <c r="A17" s="59"/>
      <c r="B17" s="179" t="str">
        <f>Vertaling!A14</f>
        <v>Dit format helpt je met het opstellen van de begrotingen. 
Het opstellen van dit financieel plan doe je door het beantwoorden van de vragen die worden gesteld op het tabblad VRAGENLIJST. Bij de meeste vragen moet je een bedrag invullen, bij andere vragen moet je een getal of onderdeel selecteren uit een lijst. Door het beantwoorden van de vragenlijst, worden de financiële overzichten automatisch ingevuld en doorgerekend. Deze overzichten zijn te vinden op de blauwgekleurden tabbladen. Deze tabbladen zijn niet in te vullen of te wijzigen. 
Als je een wijziging wilt aanbrengen doe je dat door de lichtblauwe cellen in de vragenlijst te wijzigen! De overige cellen zijn vergrendeld met een wachtwoord. Dit wachtwoord is niet nodig voor het invullen van het plan en wordt ook niet vrijgegeven. Qredits wil namelijk niet dat het sjabloon wordt aangepast.</v>
      </c>
      <c r="C17" s="40"/>
      <c r="D17" s="44"/>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row>
    <row r="18" spans="1:35" x14ac:dyDescent="0.2">
      <c r="A18" s="59"/>
      <c r="B18" s="60"/>
      <c r="C18" s="40"/>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row>
    <row r="19" spans="1:35" ht="23.25" x14ac:dyDescent="0.2">
      <c r="A19" s="59"/>
      <c r="B19" s="181" t="str">
        <f>Vertaling!A21</f>
        <v>Financieringsaanvraag</v>
      </c>
      <c r="C19" s="10"/>
      <c r="D19" s="44"/>
      <c r="E19" s="44"/>
      <c r="F19" s="44"/>
      <c r="G19" s="44"/>
      <c r="H19" s="44"/>
      <c r="I19" s="44"/>
      <c r="J19" s="44"/>
      <c r="K19" s="44"/>
      <c r="L19" s="44"/>
      <c r="M19" s="44"/>
      <c r="N19" s="44"/>
      <c r="O19" s="44"/>
      <c r="P19" s="44"/>
      <c r="Q19" s="44"/>
      <c r="R19" s="44"/>
      <c r="S19" s="44"/>
      <c r="T19" s="44"/>
      <c r="U19" s="44"/>
      <c r="V19" s="44"/>
      <c r="W19" s="44"/>
      <c r="X19" s="44"/>
      <c r="Y19" s="44"/>
      <c r="Z19" s="44"/>
      <c r="AA19" s="44"/>
      <c r="AB19" s="44"/>
      <c r="AC19" s="44"/>
      <c r="AD19" s="44"/>
      <c r="AE19" s="44"/>
      <c r="AF19" s="44"/>
      <c r="AG19" s="44"/>
      <c r="AH19" s="44"/>
      <c r="AI19" s="44"/>
    </row>
    <row r="20" spans="1:35" ht="30" customHeight="1" x14ac:dyDescent="0.2">
      <c r="A20" s="59"/>
      <c r="B20" s="180" t="str">
        <f>Vertaling!A22</f>
        <v>Je kunt dit financieel plan gebruiken voor een kredietaanvraag bij Qredits. Kijk voor meer informatie over onze zakelijke kredieten op:</v>
      </c>
      <c r="C20" s="39"/>
      <c r="D20" s="44"/>
      <c r="E20" s="44"/>
      <c r="F20" s="44"/>
      <c r="G20" s="44"/>
      <c r="H20" s="44"/>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row>
    <row r="21" spans="1:35" x14ac:dyDescent="0.2">
      <c r="A21" s="59"/>
      <c r="B21" s="10"/>
      <c r="C21" s="39"/>
      <c r="D21" s="44"/>
      <c r="E21" s="44"/>
      <c r="F21" s="44"/>
      <c r="G21" s="44"/>
      <c r="H21" s="44"/>
      <c r="I21" s="44"/>
      <c r="J21" s="44"/>
      <c r="K21" s="44"/>
      <c r="L21" s="44"/>
      <c r="M21" s="44"/>
      <c r="N21" s="44"/>
      <c r="O21" s="44"/>
      <c r="P21" s="44"/>
      <c r="Q21" s="44"/>
      <c r="R21" s="44"/>
      <c r="S21" s="44"/>
      <c r="T21" s="44"/>
      <c r="U21" s="44"/>
      <c r="V21" s="44"/>
      <c r="W21" s="44"/>
      <c r="X21" s="44"/>
      <c r="Y21" s="44"/>
      <c r="Z21" s="44"/>
      <c r="AA21" s="44"/>
      <c r="AB21" s="44"/>
      <c r="AC21" s="44"/>
      <c r="AD21" s="44"/>
      <c r="AE21" s="44"/>
      <c r="AF21" s="44"/>
      <c r="AG21" s="44"/>
      <c r="AH21" s="44"/>
      <c r="AI21" s="44"/>
    </row>
    <row r="22" spans="1:35" ht="15.75" x14ac:dyDescent="0.2">
      <c r="A22" s="59"/>
      <c r="B22" s="182" t="str">
        <f>Vertaling!A23</f>
        <v>https://qredits.nl/zakelijk-krediet</v>
      </c>
      <c r="C22" s="40"/>
      <c r="D22" s="44"/>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c r="AH22" s="44"/>
      <c r="AI22" s="44"/>
    </row>
    <row r="23" spans="1:35" ht="21" x14ac:dyDescent="0.2">
      <c r="A23" s="59"/>
      <c r="B23" s="11"/>
      <c r="C23" s="40"/>
      <c r="D23" s="44"/>
      <c r="E23" s="44"/>
      <c r="F23" s="44"/>
      <c r="G23" s="44"/>
      <c r="H23" s="44"/>
      <c r="I23" s="44"/>
      <c r="J23" s="44"/>
      <c r="K23" s="44"/>
      <c r="L23" s="44"/>
      <c r="M23" s="44"/>
      <c r="N23" s="44"/>
      <c r="O23" s="44"/>
      <c r="P23" s="44"/>
      <c r="Q23" s="44"/>
      <c r="R23" s="44"/>
      <c r="S23" s="44"/>
      <c r="T23" s="44"/>
      <c r="U23" s="44"/>
      <c r="V23" s="44"/>
      <c r="W23" s="44"/>
      <c r="X23" s="44"/>
      <c r="Y23" s="44"/>
      <c r="Z23" s="44"/>
      <c r="AA23" s="44"/>
      <c r="AB23" s="44"/>
      <c r="AC23" s="44"/>
      <c r="AD23" s="44"/>
      <c r="AE23" s="44"/>
      <c r="AF23" s="44"/>
      <c r="AG23" s="44"/>
      <c r="AH23" s="44"/>
      <c r="AI23" s="44"/>
    </row>
    <row r="24" spans="1:35" ht="33.75" x14ac:dyDescent="0.2">
      <c r="A24" s="59"/>
      <c r="B24" s="183" t="str">
        <f>Vertaling!A24</f>
        <v xml:space="preserve">Disclaimer: Qredits draagt er zorg voor om de inhoud van deze module regelmatig bij te werken of toevoegingen hieraan te maken. Desalniettemin is Qredits niet aansprakelijk voor onjuistheden of onvolledigheden in de aangeboden inhoud. Qredits is op geen enkele wijze aansprakelijk voor schade voortvloeiend uit het gebruik van deze module. Het is de gebruiker slechts toegestaan om de module voor eigen gebruik op te slaan, af te drukken en te kopiëren.  </v>
      </c>
      <c r="C24" s="40"/>
      <c r="D24" s="44"/>
      <c r="E24" s="44"/>
      <c r="F24" s="44"/>
      <c r="G24" s="44"/>
      <c r="H24" s="44"/>
      <c r="I24" s="44"/>
      <c r="J24" s="44"/>
      <c r="K24" s="44"/>
      <c r="L24" s="44"/>
      <c r="M24" s="44"/>
      <c r="N24" s="44"/>
      <c r="O24" s="44"/>
      <c r="P24" s="44"/>
      <c r="Q24" s="44"/>
      <c r="R24" s="44"/>
      <c r="S24" s="44"/>
      <c r="T24" s="44"/>
      <c r="U24" s="44"/>
      <c r="V24" s="44"/>
      <c r="W24" s="44"/>
      <c r="X24" s="44"/>
      <c r="Y24" s="44"/>
      <c r="Z24" s="44"/>
      <c r="AA24" s="44"/>
      <c r="AB24" s="44"/>
      <c r="AC24" s="44"/>
      <c r="AD24" s="44"/>
      <c r="AE24" s="44"/>
      <c r="AF24" s="44"/>
      <c r="AG24" s="44"/>
      <c r="AH24" s="44"/>
      <c r="AI24" s="44"/>
    </row>
    <row r="25" spans="1:35" x14ac:dyDescent="0.2">
      <c r="A25" s="10"/>
      <c r="B25" s="12"/>
      <c r="D25" s="44"/>
      <c r="E25" s="44"/>
      <c r="F25" s="44"/>
      <c r="G25" s="44"/>
      <c r="H25" s="44"/>
      <c r="I25" s="44"/>
      <c r="J25" s="44"/>
      <c r="K25" s="44"/>
      <c r="L25" s="44"/>
      <c r="M25" s="44"/>
      <c r="N25" s="44"/>
      <c r="O25" s="44"/>
      <c r="P25" s="44"/>
      <c r="Q25" s="44"/>
      <c r="R25" s="44"/>
      <c r="S25" s="44"/>
      <c r="T25" s="44"/>
      <c r="U25" s="44"/>
      <c r="V25" s="44"/>
      <c r="W25" s="44"/>
      <c r="X25" s="44"/>
      <c r="Y25" s="44"/>
      <c r="Z25" s="44"/>
      <c r="AA25" s="44"/>
      <c r="AB25" s="44"/>
      <c r="AC25" s="44"/>
      <c r="AD25" s="44"/>
      <c r="AE25" s="44"/>
      <c r="AF25" s="44"/>
      <c r="AG25" s="44"/>
      <c r="AH25" s="44"/>
      <c r="AI25" s="44"/>
    </row>
    <row r="26" spans="1:35" x14ac:dyDescent="0.2">
      <c r="A26" s="184" t="s">
        <v>1276</v>
      </c>
      <c r="B26" s="10"/>
      <c r="D26" s="44"/>
      <c r="E26" s="44"/>
      <c r="F26" s="44"/>
      <c r="G26" s="44"/>
      <c r="H26" s="44"/>
      <c r="I26" s="44"/>
      <c r="J26" s="44"/>
      <c r="K26" s="44"/>
      <c r="L26" s="44"/>
      <c r="M26" s="44"/>
      <c r="N26" s="44"/>
      <c r="O26" s="44"/>
      <c r="P26" s="44"/>
      <c r="Q26" s="44"/>
      <c r="R26" s="44"/>
      <c r="S26" s="44"/>
      <c r="T26" s="44"/>
      <c r="U26" s="44"/>
      <c r="V26" s="44"/>
      <c r="W26" s="44"/>
      <c r="X26" s="44"/>
      <c r="Y26" s="44"/>
      <c r="Z26" s="44"/>
      <c r="AA26" s="44"/>
      <c r="AB26" s="44"/>
      <c r="AC26" s="44"/>
      <c r="AD26" s="44"/>
      <c r="AE26" s="44"/>
      <c r="AF26" s="44"/>
      <c r="AG26" s="44"/>
      <c r="AH26" s="44"/>
      <c r="AI26" s="44"/>
    </row>
    <row r="27" spans="1:35" x14ac:dyDescent="0.2">
      <c r="A27" s="46"/>
      <c r="B27" s="46"/>
      <c r="C27" s="44"/>
      <c r="D27" s="44"/>
      <c r="E27" s="44"/>
      <c r="F27" s="44"/>
      <c r="G27" s="44"/>
      <c r="H27" s="44"/>
      <c r="I27" s="44"/>
      <c r="J27" s="44"/>
      <c r="K27" s="44"/>
      <c r="L27" s="44"/>
      <c r="M27" s="44"/>
      <c r="N27" s="44"/>
      <c r="O27" s="44"/>
      <c r="P27" s="44"/>
      <c r="Q27" s="44"/>
      <c r="R27" s="44"/>
      <c r="S27" s="44"/>
      <c r="T27" s="44"/>
      <c r="U27" s="44"/>
      <c r="V27" s="44"/>
      <c r="W27" s="44"/>
      <c r="X27" s="44"/>
      <c r="Y27" s="44"/>
      <c r="Z27" s="44"/>
      <c r="AA27" s="44"/>
      <c r="AB27" s="44"/>
      <c r="AC27" s="44"/>
      <c r="AD27" s="44"/>
      <c r="AE27" s="44"/>
      <c r="AF27" s="44"/>
      <c r="AG27" s="44"/>
      <c r="AH27" s="44"/>
      <c r="AI27" s="44"/>
    </row>
    <row r="28" spans="1:35" x14ac:dyDescent="0.2">
      <c r="A28" s="44"/>
      <c r="B28" s="44"/>
      <c r="C28" s="44"/>
      <c r="D28" s="44"/>
      <c r="E28" s="44"/>
      <c r="F28" s="44"/>
      <c r="G28" s="44"/>
      <c r="H28" s="44"/>
      <c r="I28" s="44"/>
      <c r="J28" s="44"/>
      <c r="K28" s="44"/>
      <c r="L28" s="44"/>
      <c r="M28" s="44"/>
      <c r="N28" s="44"/>
      <c r="O28" s="44"/>
      <c r="P28" s="44"/>
      <c r="Q28" s="44"/>
      <c r="R28" s="44"/>
      <c r="S28" s="44"/>
      <c r="T28" s="44"/>
      <c r="U28" s="44"/>
      <c r="V28" s="44"/>
      <c r="W28" s="44"/>
      <c r="X28" s="44"/>
      <c r="Y28" s="44"/>
      <c r="Z28" s="44"/>
      <c r="AA28" s="44"/>
      <c r="AB28" s="44"/>
      <c r="AC28" s="44"/>
      <c r="AD28" s="44"/>
      <c r="AE28" s="44"/>
      <c r="AF28" s="44"/>
      <c r="AG28" s="44"/>
      <c r="AH28" s="44"/>
      <c r="AI28" s="44"/>
    </row>
    <row r="29" spans="1:35" x14ac:dyDescent="0.2">
      <c r="A29" s="44"/>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row>
    <row r="30" spans="1:35" x14ac:dyDescent="0.2">
      <c r="A30" s="44"/>
      <c r="B30" s="44"/>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row>
    <row r="31" spans="1:35" x14ac:dyDescent="0.2">
      <c r="A31" s="44"/>
      <c r="B31" s="44"/>
      <c r="C31" s="44"/>
      <c r="D31" s="44"/>
      <c r="E31" s="44"/>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row>
    <row r="32" spans="1:35" x14ac:dyDescent="0.2">
      <c r="A32" s="44"/>
      <c r="B32" s="44"/>
      <c r="C32" s="44"/>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row>
    <row r="33" spans="1:35" x14ac:dyDescent="0.2">
      <c r="A33" s="44"/>
      <c r="B33" s="44"/>
      <c r="C33" s="44"/>
      <c r="D33" s="44"/>
      <c r="E33" s="44"/>
      <c r="F33" s="44"/>
      <c r="G33" s="44"/>
      <c r="H33" s="44"/>
      <c r="I33" s="44"/>
      <c r="J33" s="44"/>
      <c r="K33" s="44"/>
      <c r="L33" s="44"/>
      <c r="M33" s="44"/>
      <c r="N33" s="44"/>
      <c r="O33" s="44"/>
      <c r="P33" s="44"/>
      <c r="Q33" s="44"/>
      <c r="R33" s="44"/>
      <c r="S33" s="44"/>
      <c r="T33" s="44"/>
      <c r="U33" s="44"/>
      <c r="V33" s="44"/>
      <c r="W33" s="44"/>
      <c r="X33" s="44"/>
      <c r="Y33" s="44"/>
      <c r="Z33" s="44"/>
      <c r="AA33" s="44"/>
      <c r="AB33" s="44"/>
      <c r="AC33" s="44"/>
      <c r="AD33" s="44"/>
      <c r="AE33" s="44"/>
      <c r="AF33" s="44"/>
      <c r="AG33" s="44"/>
      <c r="AH33" s="44"/>
      <c r="AI33" s="44"/>
    </row>
    <row r="34" spans="1:35" ht="30" customHeight="1" x14ac:dyDescent="0.2">
      <c r="A34" s="44"/>
      <c r="B34" s="44"/>
      <c r="C34" s="44"/>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row>
    <row r="35" spans="1:35" x14ac:dyDescent="0.2">
      <c r="A35" s="44"/>
      <c r="B35" s="44"/>
      <c r="C35" s="44"/>
      <c r="D35" s="44"/>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row>
    <row r="36" spans="1:35" x14ac:dyDescent="0.2">
      <c r="A36" s="44"/>
      <c r="B36" s="44"/>
      <c r="C36" s="44"/>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c r="AE36" s="44"/>
      <c r="AF36" s="44"/>
      <c r="AG36" s="44"/>
      <c r="AH36" s="44"/>
      <c r="AI36" s="44"/>
    </row>
    <row r="37" spans="1:35" x14ac:dyDescent="0.2">
      <c r="A37" s="44"/>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c r="AE37" s="44"/>
      <c r="AF37" s="44"/>
      <c r="AG37" s="44"/>
      <c r="AH37" s="44"/>
      <c r="AI37" s="44"/>
    </row>
    <row r="38" spans="1:35" x14ac:dyDescent="0.2">
      <c r="A38" s="44"/>
      <c r="B38" s="44"/>
      <c r="C38" s="44"/>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c r="AE38" s="44"/>
      <c r="AF38" s="44"/>
      <c r="AG38" s="44"/>
      <c r="AH38" s="44"/>
      <c r="AI38" s="44"/>
    </row>
    <row r="39" spans="1:35" x14ac:dyDescent="0.2">
      <c r="A39" s="44"/>
      <c r="B39" s="44"/>
      <c r="C39" s="44"/>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c r="AE39" s="44"/>
      <c r="AF39" s="44"/>
      <c r="AG39" s="44"/>
      <c r="AH39" s="44"/>
      <c r="AI39" s="44"/>
    </row>
    <row r="40" spans="1:35" x14ac:dyDescent="0.2">
      <c r="A40" s="44"/>
      <c r="B40" s="44"/>
      <c r="C40" s="44"/>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c r="AE40" s="44"/>
      <c r="AF40" s="44"/>
      <c r="AG40" s="44"/>
      <c r="AH40" s="44"/>
      <c r="AI40" s="44"/>
    </row>
    <row r="41" spans="1:35" x14ac:dyDescent="0.2">
      <c r="A41" s="44"/>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4"/>
      <c r="AF41" s="44"/>
      <c r="AG41" s="44"/>
      <c r="AH41" s="44"/>
      <c r="AI41" s="44"/>
    </row>
    <row r="42" spans="1:35" x14ac:dyDescent="0.2">
      <c r="A42" s="44"/>
      <c r="B42" s="44"/>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c r="AE42" s="44"/>
      <c r="AF42" s="44"/>
      <c r="AG42" s="44"/>
      <c r="AH42" s="44"/>
      <c r="AI42" s="44"/>
    </row>
    <row r="43" spans="1:35" x14ac:dyDescent="0.2">
      <c r="A43" s="44"/>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row>
    <row r="44" spans="1:35" x14ac:dyDescent="0.2">
      <c r="A44" s="44"/>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row>
    <row r="45" spans="1:35" x14ac:dyDescent="0.2">
      <c r="A45" s="44"/>
      <c r="B45" s="44"/>
      <c r="C45" s="44"/>
      <c r="D45" s="44"/>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c r="AE45" s="44"/>
      <c r="AF45" s="44"/>
      <c r="AG45" s="44"/>
      <c r="AH45" s="44"/>
      <c r="AI45" s="44"/>
    </row>
    <row r="46" spans="1:35" x14ac:dyDescent="0.2">
      <c r="A46" s="44"/>
      <c r="B46" s="44"/>
      <c r="C46" s="44"/>
      <c r="D46" s="44"/>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c r="AE46" s="44"/>
      <c r="AF46" s="44"/>
      <c r="AG46" s="44"/>
      <c r="AH46" s="44"/>
      <c r="AI46" s="44"/>
    </row>
    <row r="47" spans="1:35" x14ac:dyDescent="0.2">
      <c r="A47" s="44"/>
      <c r="B47" s="44"/>
      <c r="C47" s="44"/>
      <c r="D47" s="44"/>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c r="AE47" s="44"/>
      <c r="AF47" s="44"/>
      <c r="AG47" s="44"/>
      <c r="AH47" s="44"/>
      <c r="AI47" s="44"/>
    </row>
    <row r="48" spans="1:35" x14ac:dyDescent="0.2">
      <c r="A48" s="44"/>
      <c r="B48" s="44"/>
      <c r="C48" s="44"/>
      <c r="D48" s="44"/>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row>
    <row r="49" spans="1:35" x14ac:dyDescent="0.2">
      <c r="A49" s="44"/>
      <c r="B49" s="44"/>
      <c r="C49" s="44"/>
      <c r="D49" s="44"/>
      <c r="E49" s="44"/>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4"/>
      <c r="AG49" s="44"/>
      <c r="AH49" s="44"/>
      <c r="AI49" s="44"/>
    </row>
    <row r="50" spans="1:35" x14ac:dyDescent="0.2">
      <c r="A50" s="44"/>
      <c r="B50" s="44"/>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row>
    <row r="51" spans="1:35" x14ac:dyDescent="0.2">
      <c r="A51" s="44"/>
      <c r="B51" s="44"/>
      <c r="C51" s="44"/>
      <c r="D51" s="44"/>
      <c r="E51" s="44"/>
      <c r="F51" s="44"/>
      <c r="G51" s="44"/>
      <c r="H51" s="44"/>
      <c r="I51" s="44"/>
      <c r="J51" s="44"/>
      <c r="K51" s="44"/>
      <c r="L51" s="44"/>
      <c r="M51" s="44"/>
      <c r="N51" s="44"/>
      <c r="O51" s="44"/>
      <c r="P51" s="44"/>
      <c r="Q51" s="44"/>
      <c r="R51" s="44"/>
      <c r="S51" s="44"/>
      <c r="T51" s="44"/>
      <c r="U51" s="44"/>
      <c r="V51" s="44"/>
      <c r="W51" s="44"/>
      <c r="X51" s="44"/>
      <c r="Y51" s="44"/>
      <c r="Z51" s="44"/>
      <c r="AA51" s="44"/>
      <c r="AB51" s="44"/>
      <c r="AC51" s="44"/>
      <c r="AD51" s="44"/>
      <c r="AE51" s="44"/>
      <c r="AF51" s="44"/>
      <c r="AG51" s="44"/>
      <c r="AH51" s="44"/>
      <c r="AI51" s="44"/>
    </row>
    <row r="52" spans="1:35" x14ac:dyDescent="0.2">
      <c r="A52" s="44"/>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row>
    <row r="53" spans="1:35" x14ac:dyDescent="0.2">
      <c r="A53" s="44"/>
      <c r="B53" s="44"/>
      <c r="C53" s="44"/>
      <c r="D53" s="44"/>
      <c r="E53" s="44"/>
      <c r="F53" s="44"/>
      <c r="G53" s="44"/>
      <c r="H53" s="44"/>
      <c r="I53" s="44"/>
      <c r="J53" s="44"/>
      <c r="K53" s="44"/>
      <c r="L53" s="44"/>
      <c r="M53" s="44"/>
      <c r="N53" s="44"/>
      <c r="O53" s="44"/>
      <c r="P53" s="44"/>
      <c r="Q53" s="44"/>
      <c r="R53" s="44"/>
      <c r="S53" s="44"/>
      <c r="T53" s="44"/>
      <c r="U53" s="44"/>
      <c r="V53" s="44"/>
      <c r="W53" s="44"/>
      <c r="X53" s="44"/>
      <c r="Y53" s="44"/>
      <c r="Z53" s="44"/>
      <c r="AA53" s="44"/>
      <c r="AB53" s="44"/>
      <c r="AC53" s="44"/>
      <c r="AD53" s="44"/>
      <c r="AE53" s="44"/>
      <c r="AF53" s="44"/>
      <c r="AG53" s="44"/>
      <c r="AH53" s="44"/>
      <c r="AI53" s="44"/>
    </row>
    <row r="54" spans="1:35" x14ac:dyDescent="0.2">
      <c r="A54" s="44"/>
      <c r="B54" s="44"/>
      <c r="C54" s="44"/>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row>
    <row r="55" spans="1:35" x14ac:dyDescent="0.2">
      <c r="A55" s="44"/>
      <c r="B55" s="44"/>
      <c r="C55" s="44"/>
      <c r="D55" s="44"/>
      <c r="E55" s="44"/>
      <c r="F55" s="44"/>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row>
    <row r="56" spans="1:35" x14ac:dyDescent="0.2">
      <c r="A56" s="44"/>
      <c r="B56" s="44"/>
      <c r="C56" s="44"/>
      <c r="D56" s="44"/>
      <c r="E56" s="44"/>
      <c r="F56" s="44"/>
      <c r="G56" s="44"/>
      <c r="H56" s="44"/>
      <c r="I56" s="44"/>
      <c r="J56" s="44"/>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row>
    <row r="57" spans="1:35" x14ac:dyDescent="0.2">
      <c r="A57" s="44"/>
      <c r="B57" s="44"/>
      <c r="C57" s="44"/>
      <c r="D57" s="44"/>
      <c r="E57" s="44"/>
      <c r="F57" s="44"/>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row>
    <row r="58" spans="1:35" x14ac:dyDescent="0.2">
      <c r="A58" s="44"/>
      <c r="B58" s="44"/>
      <c r="C58" s="44"/>
      <c r="D58" s="44"/>
      <c r="E58" s="44"/>
      <c r="F58" s="44"/>
      <c r="G58" s="44"/>
      <c r="H58" s="44"/>
      <c r="I58" s="44"/>
      <c r="J58" s="44"/>
      <c r="K58" s="44"/>
      <c r="L58" s="44"/>
      <c r="M58" s="44"/>
      <c r="N58" s="44"/>
      <c r="O58" s="44"/>
      <c r="P58" s="44"/>
      <c r="Q58" s="44"/>
      <c r="R58" s="44"/>
      <c r="S58" s="44"/>
      <c r="T58" s="44"/>
      <c r="U58" s="44"/>
      <c r="V58" s="44"/>
      <c r="W58" s="44"/>
      <c r="X58" s="44"/>
      <c r="Y58" s="44"/>
      <c r="Z58" s="44"/>
      <c r="AA58" s="44"/>
      <c r="AB58" s="44"/>
      <c r="AC58" s="44"/>
      <c r="AD58" s="44"/>
      <c r="AE58" s="44"/>
      <c r="AF58" s="44"/>
      <c r="AG58" s="44"/>
      <c r="AH58" s="44"/>
      <c r="AI58" s="44"/>
    </row>
    <row r="59" spans="1:35" x14ac:dyDescent="0.2">
      <c r="A59" s="44"/>
      <c r="B59" s="44"/>
      <c r="C59" s="44"/>
      <c r="D59" s="44"/>
      <c r="E59" s="44"/>
      <c r="F59" s="44"/>
      <c r="G59" s="44"/>
      <c r="H59" s="44"/>
      <c r="I59" s="44"/>
      <c r="J59" s="44"/>
      <c r="K59" s="44"/>
      <c r="L59" s="44"/>
      <c r="M59" s="44"/>
      <c r="N59" s="44"/>
      <c r="O59" s="44"/>
      <c r="P59" s="44"/>
      <c r="Q59" s="44"/>
      <c r="R59" s="44"/>
      <c r="S59" s="44"/>
      <c r="T59" s="44"/>
      <c r="U59" s="44"/>
      <c r="V59" s="44"/>
      <c r="W59" s="44"/>
      <c r="X59" s="44"/>
      <c r="Y59" s="44"/>
      <c r="Z59" s="44"/>
      <c r="AA59" s="44"/>
      <c r="AB59" s="44"/>
      <c r="AC59" s="44"/>
      <c r="AD59" s="44"/>
      <c r="AE59" s="44"/>
      <c r="AF59" s="44"/>
      <c r="AG59" s="44"/>
      <c r="AH59" s="44"/>
      <c r="AI59" s="44"/>
    </row>
    <row r="60" spans="1:35" x14ac:dyDescent="0.2">
      <c r="A60" s="44"/>
      <c r="B60" s="44"/>
      <c r="C60" s="44"/>
      <c r="D60" s="44"/>
      <c r="E60" s="44"/>
      <c r="F60" s="44"/>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c r="AI60" s="44"/>
    </row>
    <row r="61" spans="1:35" x14ac:dyDescent="0.2">
      <c r="A61" s="44"/>
      <c r="B61" s="44"/>
      <c r="C61" s="44"/>
      <c r="D61" s="44"/>
      <c r="E61" s="44"/>
      <c r="F61" s="44"/>
      <c r="G61" s="44"/>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4"/>
      <c r="AI61" s="44"/>
    </row>
    <row r="62" spans="1:35" x14ac:dyDescent="0.2">
      <c r="A62" s="44"/>
      <c r="B62" s="44"/>
      <c r="C62" s="44"/>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row>
    <row r="63" spans="1:35" x14ac:dyDescent="0.2">
      <c r="A63" s="44"/>
      <c r="B63" s="44"/>
      <c r="C63" s="44"/>
      <c r="D63" s="44"/>
      <c r="E63" s="44"/>
      <c r="F63" s="44"/>
      <c r="G63" s="44"/>
      <c r="H63" s="44"/>
      <c r="I63" s="44"/>
      <c r="J63" s="44"/>
      <c r="K63" s="44"/>
      <c r="L63" s="44"/>
      <c r="M63" s="44"/>
      <c r="N63" s="44"/>
      <c r="O63" s="44"/>
      <c r="P63" s="44"/>
      <c r="Q63" s="44"/>
      <c r="R63" s="44"/>
      <c r="S63" s="44"/>
      <c r="T63" s="44"/>
      <c r="U63" s="44"/>
      <c r="V63" s="44"/>
      <c r="W63" s="44"/>
      <c r="X63" s="44"/>
      <c r="Y63" s="44"/>
      <c r="Z63" s="44"/>
      <c r="AA63" s="44"/>
      <c r="AB63" s="44"/>
      <c r="AC63" s="44"/>
      <c r="AD63" s="44"/>
      <c r="AE63" s="44"/>
      <c r="AF63" s="44"/>
      <c r="AG63" s="44"/>
      <c r="AH63" s="44"/>
      <c r="AI63" s="44"/>
    </row>
    <row r="64" spans="1:35" x14ac:dyDescent="0.2">
      <c r="A64" s="44"/>
      <c r="B64" s="44"/>
      <c r="C64" s="44"/>
      <c r="D64" s="44"/>
      <c r="E64" s="44"/>
      <c r="F64" s="44"/>
      <c r="G64" s="44"/>
      <c r="H64" s="44"/>
      <c r="I64" s="44"/>
      <c r="J64" s="44"/>
      <c r="K64" s="44"/>
      <c r="L64" s="44"/>
      <c r="M64" s="44"/>
      <c r="N64" s="44"/>
      <c r="O64" s="44"/>
      <c r="P64" s="44"/>
      <c r="Q64" s="44"/>
      <c r="R64" s="44"/>
      <c r="S64" s="44"/>
      <c r="T64" s="44"/>
      <c r="U64" s="44"/>
      <c r="V64" s="44"/>
      <c r="W64" s="44"/>
      <c r="X64" s="44"/>
      <c r="Y64" s="44"/>
      <c r="Z64" s="44"/>
      <c r="AA64" s="44"/>
      <c r="AB64" s="44"/>
      <c r="AC64" s="44"/>
      <c r="AD64" s="44"/>
      <c r="AE64" s="44"/>
      <c r="AF64" s="44"/>
      <c r="AG64" s="44"/>
      <c r="AH64" s="44"/>
      <c r="AI64" s="44"/>
    </row>
    <row r="65" spans="1:35" x14ac:dyDescent="0.2">
      <c r="A65" s="44"/>
      <c r="B65" s="44"/>
      <c r="C65" s="44"/>
      <c r="D65" s="44"/>
      <c r="E65" s="44"/>
      <c r="F65" s="44"/>
      <c r="G65" s="44"/>
      <c r="H65" s="44"/>
      <c r="I65" s="44"/>
      <c r="J65" s="44"/>
      <c r="K65" s="44"/>
      <c r="L65" s="44"/>
      <c r="M65" s="44"/>
      <c r="N65" s="44"/>
      <c r="O65" s="44"/>
      <c r="P65" s="44"/>
      <c r="Q65" s="44"/>
      <c r="R65" s="44"/>
      <c r="S65" s="44"/>
      <c r="T65" s="44"/>
      <c r="U65" s="44"/>
      <c r="V65" s="44"/>
      <c r="W65" s="44"/>
      <c r="X65" s="44"/>
      <c r="Y65" s="44"/>
      <c r="Z65" s="44"/>
      <c r="AA65" s="44"/>
      <c r="AB65" s="44"/>
      <c r="AC65" s="44"/>
      <c r="AD65" s="44"/>
      <c r="AE65" s="44"/>
      <c r="AF65" s="44"/>
      <c r="AG65" s="44"/>
      <c r="AH65" s="44"/>
      <c r="AI65" s="44"/>
    </row>
    <row r="66" spans="1:35" x14ac:dyDescent="0.2">
      <c r="A66" s="44"/>
      <c r="B66" s="44"/>
      <c r="C66" s="44"/>
      <c r="D66" s="44"/>
      <c r="E66" s="44"/>
      <c r="F66" s="44"/>
      <c r="G66" s="44"/>
      <c r="H66" s="44"/>
      <c r="I66" s="44"/>
      <c r="J66" s="44"/>
      <c r="K66" s="44"/>
      <c r="L66" s="44"/>
      <c r="M66" s="44"/>
      <c r="N66" s="44"/>
      <c r="O66" s="44"/>
      <c r="P66" s="44"/>
      <c r="Q66" s="44"/>
      <c r="R66" s="44"/>
      <c r="S66" s="44"/>
      <c r="T66" s="44"/>
      <c r="U66" s="44"/>
      <c r="V66" s="44"/>
      <c r="W66" s="44"/>
      <c r="X66" s="44"/>
      <c r="Y66" s="44"/>
      <c r="Z66" s="44"/>
      <c r="AA66" s="44"/>
      <c r="AB66" s="44"/>
      <c r="AC66" s="44"/>
      <c r="AD66" s="44"/>
      <c r="AE66" s="44"/>
      <c r="AF66" s="44"/>
      <c r="AG66" s="44"/>
      <c r="AH66" s="44"/>
      <c r="AI66" s="44"/>
    </row>
    <row r="67" spans="1:35" x14ac:dyDescent="0.2">
      <c r="A67" s="44"/>
      <c r="B67" s="44"/>
      <c r="C67" s="44"/>
      <c r="D67" s="44"/>
      <c r="E67" s="44"/>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row>
    <row r="68" spans="1:35" x14ac:dyDescent="0.2">
      <c r="A68" s="44"/>
      <c r="B68" s="44"/>
      <c r="C68" s="44"/>
      <c r="D68" s="44"/>
      <c r="E68" s="44"/>
      <c r="F68" s="44"/>
      <c r="G68" s="44"/>
      <c r="H68" s="44"/>
      <c r="I68" s="44"/>
      <c r="J68" s="44"/>
      <c r="K68" s="44"/>
      <c r="L68" s="44"/>
      <c r="M68" s="44"/>
      <c r="N68" s="44"/>
      <c r="O68" s="44"/>
      <c r="P68" s="44"/>
      <c r="Q68" s="44"/>
      <c r="R68" s="44"/>
      <c r="S68" s="44"/>
      <c r="T68" s="44"/>
      <c r="U68" s="44"/>
      <c r="V68" s="44"/>
      <c r="W68" s="44"/>
      <c r="X68" s="44"/>
      <c r="Y68" s="44"/>
      <c r="Z68" s="44"/>
      <c r="AA68" s="44"/>
      <c r="AB68" s="44"/>
      <c r="AC68" s="44"/>
      <c r="AD68" s="44"/>
      <c r="AE68" s="44"/>
      <c r="AF68" s="44"/>
      <c r="AG68" s="44"/>
      <c r="AH68" s="44"/>
      <c r="AI68" s="44"/>
    </row>
    <row r="69" spans="1:35" x14ac:dyDescent="0.2">
      <c r="A69" s="44"/>
      <c r="B69" s="44"/>
      <c r="C69" s="44"/>
      <c r="D69" s="44"/>
      <c r="E69" s="44"/>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row>
    <row r="70" spans="1:35" x14ac:dyDescent="0.2">
      <c r="A70" s="44"/>
      <c r="B70" s="44"/>
      <c r="C70" s="44"/>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row>
    <row r="71" spans="1:35" x14ac:dyDescent="0.2">
      <c r="A71" s="44"/>
      <c r="B71" s="44"/>
      <c r="D71" s="44"/>
      <c r="E71" s="44"/>
      <c r="F71" s="44"/>
      <c r="G71" s="44"/>
      <c r="H71" s="44"/>
      <c r="I71" s="44"/>
      <c r="J71" s="44"/>
      <c r="K71" s="44"/>
      <c r="L71" s="44"/>
      <c r="M71" s="44"/>
      <c r="N71" s="44"/>
      <c r="O71" s="44"/>
      <c r="P71" s="44"/>
      <c r="Q71" s="44"/>
      <c r="R71" s="44"/>
      <c r="S71" s="44"/>
      <c r="T71" s="44"/>
      <c r="U71" s="44"/>
      <c r="V71" s="44"/>
      <c r="W71" s="44"/>
      <c r="X71" s="44"/>
      <c r="Y71" s="44"/>
      <c r="Z71" s="44"/>
      <c r="AA71" s="44"/>
      <c r="AB71" s="44"/>
      <c r="AC71" s="44"/>
      <c r="AD71" s="44"/>
      <c r="AE71" s="44"/>
      <c r="AF71" s="44"/>
      <c r="AG71" s="44"/>
      <c r="AH71" s="44"/>
      <c r="AI71" s="44"/>
    </row>
    <row r="72" spans="1:35" x14ac:dyDescent="0.2">
      <c r="A72" s="44"/>
      <c r="B72" s="44"/>
      <c r="D72" s="44"/>
      <c r="E72" s="44"/>
      <c r="F72" s="44"/>
      <c r="G72" s="44"/>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row>
    <row r="73" spans="1:35" x14ac:dyDescent="0.2">
      <c r="A73" s="44"/>
      <c r="B73" s="44"/>
      <c r="D73" s="44"/>
      <c r="E73" s="44"/>
      <c r="F73" s="44"/>
      <c r="G73" s="44"/>
      <c r="H73" s="44"/>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row>
    <row r="74" spans="1:35" x14ac:dyDescent="0.2">
      <c r="A74" s="44"/>
      <c r="B74" s="44"/>
      <c r="D74" s="44"/>
      <c r="E74" s="44"/>
      <c r="F74" s="44"/>
      <c r="G74" s="44"/>
      <c r="H74" s="44"/>
      <c r="I74" s="44"/>
      <c r="J74" s="44"/>
      <c r="K74" s="44"/>
      <c r="L74" s="44"/>
      <c r="M74" s="44"/>
      <c r="N74" s="44"/>
      <c r="O74" s="44"/>
      <c r="P74" s="44"/>
      <c r="Q74" s="44"/>
      <c r="R74" s="44"/>
      <c r="S74" s="44"/>
      <c r="T74" s="44"/>
      <c r="U74" s="44"/>
      <c r="V74" s="44"/>
      <c r="W74" s="44"/>
      <c r="X74" s="44"/>
      <c r="Y74" s="44"/>
      <c r="Z74" s="44"/>
      <c r="AA74" s="44"/>
      <c r="AB74" s="44"/>
      <c r="AC74" s="44"/>
      <c r="AD74" s="44"/>
      <c r="AE74" s="44"/>
      <c r="AF74" s="44"/>
      <c r="AG74" s="44"/>
      <c r="AH74" s="44"/>
      <c r="AI74" s="44"/>
    </row>
    <row r="75" spans="1:35" x14ac:dyDescent="0.2">
      <c r="A75" s="44"/>
      <c r="B75" s="44"/>
      <c r="D75" s="44"/>
      <c r="E75" s="44"/>
      <c r="F75" s="44"/>
      <c r="G75" s="44"/>
      <c r="H75" s="44"/>
      <c r="I75" s="44"/>
      <c r="J75" s="44"/>
      <c r="K75" s="44"/>
      <c r="L75" s="44"/>
      <c r="M75" s="44"/>
      <c r="N75" s="44"/>
      <c r="O75" s="44"/>
      <c r="P75" s="44"/>
      <c r="Q75" s="44"/>
      <c r="R75" s="44"/>
      <c r="S75" s="44"/>
      <c r="T75" s="44"/>
      <c r="U75" s="44"/>
      <c r="V75" s="44"/>
      <c r="W75" s="44"/>
      <c r="X75" s="44"/>
      <c r="Y75" s="44"/>
      <c r="Z75" s="44"/>
      <c r="AA75" s="44"/>
      <c r="AB75" s="44"/>
      <c r="AC75" s="44"/>
      <c r="AD75" s="44"/>
      <c r="AE75" s="44"/>
      <c r="AF75" s="44"/>
      <c r="AG75" s="44"/>
      <c r="AH75" s="44"/>
      <c r="AI75" s="44"/>
    </row>
    <row r="76" spans="1:35" x14ac:dyDescent="0.2">
      <c r="A76" s="44"/>
      <c r="B76" s="44"/>
      <c r="D76" s="44"/>
      <c r="E76" s="44"/>
      <c r="F76" s="44"/>
      <c r="G76" s="44"/>
      <c r="H76" s="44"/>
      <c r="I76" s="44"/>
      <c r="J76" s="44"/>
      <c r="K76" s="44"/>
      <c r="L76" s="44"/>
      <c r="M76" s="44"/>
      <c r="N76" s="44"/>
      <c r="O76" s="44"/>
      <c r="P76" s="44"/>
      <c r="Q76" s="44"/>
      <c r="R76" s="44"/>
      <c r="S76" s="44"/>
      <c r="T76" s="44"/>
      <c r="U76" s="44"/>
      <c r="V76" s="44"/>
      <c r="W76" s="44"/>
      <c r="X76" s="44"/>
      <c r="Y76" s="44"/>
      <c r="Z76" s="44"/>
      <c r="AA76" s="44"/>
      <c r="AB76" s="44"/>
      <c r="AC76" s="44"/>
      <c r="AD76" s="44"/>
      <c r="AE76" s="44"/>
      <c r="AF76" s="44"/>
      <c r="AG76" s="44"/>
      <c r="AH76" s="44"/>
      <c r="AI76" s="44"/>
    </row>
    <row r="77" spans="1:35" x14ac:dyDescent="0.2">
      <c r="A77" s="44"/>
      <c r="B77" s="44"/>
      <c r="D77" s="44"/>
      <c r="E77" s="44"/>
      <c r="F77" s="44"/>
      <c r="G77" s="44"/>
      <c r="H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row>
    <row r="78" spans="1:35" x14ac:dyDescent="0.2">
      <c r="A78" s="44"/>
      <c r="B78" s="44"/>
      <c r="D78" s="44"/>
      <c r="E78" s="44"/>
      <c r="F78" s="44"/>
      <c r="G78" s="44"/>
      <c r="H78" s="44"/>
      <c r="I78" s="44"/>
      <c r="J78" s="44"/>
      <c r="K78" s="44"/>
      <c r="L78" s="44"/>
      <c r="M78" s="44"/>
      <c r="N78" s="44"/>
      <c r="O78" s="44"/>
      <c r="P78" s="44"/>
      <c r="Q78" s="44"/>
      <c r="R78" s="44"/>
      <c r="S78" s="44"/>
      <c r="T78" s="44"/>
      <c r="U78" s="44"/>
      <c r="V78" s="44"/>
      <c r="W78" s="44"/>
      <c r="X78" s="44"/>
      <c r="Y78" s="44"/>
      <c r="Z78" s="44"/>
      <c r="AA78" s="44"/>
      <c r="AB78" s="44"/>
      <c r="AC78" s="44"/>
      <c r="AD78" s="44"/>
      <c r="AE78" s="44"/>
      <c r="AF78" s="44"/>
      <c r="AG78" s="44"/>
      <c r="AH78" s="44"/>
      <c r="AI78" s="44"/>
    </row>
    <row r="79" spans="1:35" x14ac:dyDescent="0.2">
      <c r="A79" s="44"/>
      <c r="B79" s="44"/>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row>
    <row r="80" spans="1:35" x14ac:dyDescent="0.2">
      <c r="A80" s="44"/>
      <c r="B80" s="44"/>
      <c r="D80" s="44"/>
      <c r="E80" s="44"/>
      <c r="F80" s="44"/>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row>
    <row r="81" spans="1:35" x14ac:dyDescent="0.2">
      <c r="A81" s="44"/>
      <c r="B81" s="44"/>
      <c r="D81" s="44"/>
      <c r="E81" s="44"/>
      <c r="F81" s="44"/>
      <c r="G81" s="44"/>
      <c r="H81" s="44"/>
      <c r="I81" s="44"/>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row>
    <row r="82" spans="1:35" x14ac:dyDescent="0.2">
      <c r="A82" s="44"/>
      <c r="B82" s="44"/>
      <c r="D82" s="44"/>
      <c r="E82" s="44"/>
      <c r="F82" s="44"/>
      <c r="G82" s="44"/>
      <c r="H82" s="44"/>
      <c r="I82" s="44"/>
      <c r="J82" s="44"/>
      <c r="K82" s="44"/>
      <c r="L82" s="44"/>
      <c r="M82" s="44"/>
      <c r="N82" s="44"/>
      <c r="O82" s="44"/>
      <c r="P82" s="44"/>
      <c r="Q82" s="44"/>
      <c r="R82" s="44"/>
      <c r="S82" s="44"/>
      <c r="T82" s="44"/>
      <c r="U82" s="44"/>
      <c r="V82" s="44"/>
      <c r="W82" s="44"/>
      <c r="X82" s="44"/>
      <c r="Y82" s="44"/>
      <c r="Z82" s="44"/>
      <c r="AA82" s="44"/>
      <c r="AB82" s="44"/>
      <c r="AC82" s="44"/>
      <c r="AD82" s="44"/>
      <c r="AE82" s="44"/>
      <c r="AF82" s="44"/>
      <c r="AG82" s="44"/>
      <c r="AH82" s="44"/>
      <c r="AI82" s="44"/>
    </row>
    <row r="83" spans="1:35" x14ac:dyDescent="0.2">
      <c r="A83" s="44"/>
      <c r="B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row>
    <row r="84" spans="1:35" x14ac:dyDescent="0.2">
      <c r="A84" s="44"/>
      <c r="B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row>
    <row r="85" spans="1:35" x14ac:dyDescent="0.2">
      <c r="A85" s="44"/>
      <c r="B85" s="44"/>
    </row>
    <row r="86" spans="1:35" x14ac:dyDescent="0.2">
      <c r="A86" s="44"/>
      <c r="B86" s="44"/>
    </row>
    <row r="87" spans="1:35" x14ac:dyDescent="0.2">
      <c r="A87" s="44"/>
      <c r="B87" s="44"/>
    </row>
    <row r="88" spans="1:35" x14ac:dyDescent="0.2">
      <c r="A88" s="44"/>
      <c r="B88" s="44"/>
    </row>
    <row r="89" spans="1:35" x14ac:dyDescent="0.2">
      <c r="A89" s="44"/>
      <c r="B89" s="44"/>
    </row>
    <row r="90" spans="1:35" x14ac:dyDescent="0.2">
      <c r="A90" s="44"/>
      <c r="B90" s="44"/>
    </row>
  </sheetData>
  <sheetProtection algorithmName="SHA-512" hashValue="S89h/vexqrZXSbr/qshEawtuxP3tyKtKWM4Vxrw6t0xGrjcpKsl39hAx4Zn+kPGQhJJQhJ01B8DojJuv5oFJ6A==" saltValue="WRWqd4VQyhOnR9pYhWqodQ==" spinCount="100000" sheet="1" objects="1" scenarios="1"/>
  <hyperlinks>
    <hyperlink ref="B11" location="'Investering &amp; Financiering'!A1" display="    Investeringsbegroting" xr:uid="{00000000-0004-0000-0000-000000000000}"/>
    <hyperlink ref="B12" location="'Investering &amp; Financiering'!A1" display="    Financieringsbegroting" xr:uid="{00000000-0004-0000-0000-000001000000}"/>
    <hyperlink ref="B13" location="Exploitatie!A1" display="    Exploitatiebegroting" xr:uid="{00000000-0004-0000-0000-000002000000}"/>
    <hyperlink ref="B14" location="Liquiditeit!A1" display="    Liquiditeitsbegroting" xr:uid="{00000000-0004-0000-0000-000003000000}"/>
    <hyperlink ref="B10" location="Privébegroting!A1" display="Privébegroting!A1" xr:uid="{1FD7557B-FC27-4123-AC5B-89906A8EFF43}"/>
  </hyperlinks>
  <pageMargins left="0.7" right="0.7" top="0.75" bottom="0.75" header="0.51180555555555551" footer="0.51180555555555551"/>
  <pageSetup paperSize="9" scale="67" firstPageNumber="0" fitToHeight="0" orientation="portrait" horizontalDpi="300" verticalDpi="300" r:id="rId1"/>
  <headerFooter alignWithMargins="0"/>
  <colBreaks count="2" manualBreakCount="2">
    <brk id="1" max="1048575" man="1"/>
    <brk id="3"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Vertaling!$B$1:$C$1</xm:f>
          </x14:formula1>
          <xm:sqref>B7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1">
    <tabColor rgb="FFFF6600"/>
    <pageSetUpPr fitToPage="1"/>
  </sheetPr>
  <dimension ref="A1:AI110"/>
  <sheetViews>
    <sheetView zoomScaleNormal="100" workbookViewId="0">
      <selection activeCell="B7" sqref="B7"/>
    </sheetView>
  </sheetViews>
  <sheetFormatPr defaultColWidth="3.140625" defaultRowHeight="15" x14ac:dyDescent="0.2"/>
  <cols>
    <col min="1" max="1" width="3.5703125" style="1" customWidth="1"/>
    <col min="2" max="2" width="125" style="1" customWidth="1"/>
    <col min="3" max="3" width="3.5703125" style="1" customWidth="1"/>
    <col min="4" max="255" width="9.140625" style="1" customWidth="1"/>
    <col min="256" max="16384" width="3.140625" style="1"/>
  </cols>
  <sheetData>
    <row r="1" spans="1:35" s="3" customFormat="1" ht="93" customHeight="1" x14ac:dyDescent="0.25">
      <c r="A1" s="1"/>
      <c r="B1" s="2" t="s">
        <v>2</v>
      </c>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row>
    <row r="2" spans="1:35" x14ac:dyDescent="0.2">
      <c r="A2" s="10"/>
      <c r="B2" s="4"/>
      <c r="C2" s="10"/>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row>
    <row r="3" spans="1:35" x14ac:dyDescent="0.2">
      <c r="A3" s="10"/>
      <c r="B3" s="4" t="s">
        <v>3</v>
      </c>
      <c r="C3" s="10"/>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row>
    <row r="4" spans="1:35" x14ac:dyDescent="0.2">
      <c r="A4" s="10"/>
      <c r="B4" s="4"/>
      <c r="C4" s="10"/>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row>
    <row r="5" spans="1:35" ht="30" customHeight="1" x14ac:dyDescent="0.2">
      <c r="A5" s="10"/>
      <c r="B5" s="55" t="s">
        <v>4</v>
      </c>
      <c r="C5" s="39"/>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row>
    <row r="6" spans="1:35" ht="30" x14ac:dyDescent="0.2">
      <c r="A6" s="10"/>
      <c r="B6" s="56" t="s">
        <v>5</v>
      </c>
      <c r="C6" s="40"/>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row>
    <row r="7" spans="1:35" ht="18" customHeight="1" x14ac:dyDescent="0.2">
      <c r="A7" s="10"/>
      <c r="B7" s="7" t="s">
        <v>6</v>
      </c>
      <c r="C7" s="40"/>
      <c r="D7" s="44"/>
      <c r="E7" s="45"/>
      <c r="F7" s="44"/>
      <c r="G7" s="44"/>
      <c r="H7" s="44"/>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row>
    <row r="8" spans="1:35" ht="18" customHeight="1" x14ac:dyDescent="0.2">
      <c r="A8" s="10"/>
      <c r="B8" s="7" t="s">
        <v>7</v>
      </c>
      <c r="C8" s="41"/>
      <c r="D8" s="44"/>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row>
    <row r="9" spans="1:35" ht="18" customHeight="1" x14ac:dyDescent="0.2">
      <c r="A9" s="10"/>
      <c r="B9" s="7" t="s">
        <v>8</v>
      </c>
      <c r="C9" s="40"/>
      <c r="D9" s="44"/>
      <c r="E9" s="44"/>
      <c r="F9" s="44"/>
      <c r="G9" s="44"/>
      <c r="H9" s="44"/>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row>
    <row r="10" spans="1:35" ht="18" customHeight="1" x14ac:dyDescent="0.2">
      <c r="A10" s="10"/>
      <c r="B10" s="7" t="s">
        <v>9</v>
      </c>
      <c r="C10" s="40"/>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row>
    <row r="11" spans="1:35" ht="14.25" customHeight="1" x14ac:dyDescent="0.2">
      <c r="A11" s="10"/>
      <c r="B11" s="8"/>
      <c r="C11" s="40"/>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row>
    <row r="12" spans="1:35" ht="26.25" x14ac:dyDescent="0.2">
      <c r="A12" s="57"/>
      <c r="B12" s="58" t="s">
        <v>10</v>
      </c>
      <c r="C12" s="41"/>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row>
    <row r="13" spans="1:35" x14ac:dyDescent="0.2">
      <c r="A13" s="57"/>
      <c r="B13" s="56" t="s">
        <v>11</v>
      </c>
      <c r="C13" s="40"/>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row>
    <row r="14" spans="1:35" x14ac:dyDescent="0.2">
      <c r="A14" s="57"/>
      <c r="B14" s="60" t="s">
        <v>12</v>
      </c>
      <c r="C14" s="40"/>
      <c r="D14" s="44"/>
      <c r="E14" s="44"/>
      <c r="F14" s="44"/>
      <c r="G14" s="44"/>
      <c r="H14" s="44"/>
      <c r="I14" s="44"/>
      <c r="J14" s="44"/>
      <c r="K14" s="44"/>
      <c r="L14" s="44"/>
      <c r="M14" s="44"/>
      <c r="N14" s="44"/>
      <c r="O14" s="44"/>
      <c r="P14" s="44"/>
      <c r="Q14" s="44"/>
      <c r="R14" s="44"/>
      <c r="S14" s="44"/>
      <c r="T14" s="44"/>
      <c r="U14" s="44"/>
      <c r="V14" s="44"/>
      <c r="W14" s="44"/>
      <c r="X14" s="44"/>
      <c r="Y14" s="44"/>
      <c r="Z14" s="44"/>
      <c r="AA14" s="44"/>
      <c r="AB14" s="44"/>
      <c r="AC14" s="44"/>
      <c r="AD14" s="44"/>
      <c r="AE14" s="44"/>
      <c r="AF14" s="44"/>
      <c r="AG14" s="44"/>
      <c r="AH14" s="44"/>
      <c r="AI14" s="44"/>
    </row>
    <row r="15" spans="1:35" x14ac:dyDescent="0.2">
      <c r="A15" s="57"/>
      <c r="B15" s="60" t="s">
        <v>13</v>
      </c>
      <c r="C15" s="41"/>
      <c r="D15" s="44"/>
      <c r="E15" s="44"/>
      <c r="F15" s="44"/>
      <c r="G15" s="44"/>
      <c r="H15" s="44"/>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4"/>
    </row>
    <row r="16" spans="1:35" x14ac:dyDescent="0.2">
      <c r="A16" s="57"/>
      <c r="B16" s="60" t="s">
        <v>14</v>
      </c>
      <c r="C16" s="40"/>
      <c r="D16" s="44"/>
      <c r="E16" s="44"/>
      <c r="F16" s="44"/>
      <c r="G16" s="44"/>
      <c r="H16" s="44"/>
      <c r="I16" s="44"/>
      <c r="J16" s="44"/>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44"/>
    </row>
    <row r="17" spans="1:35" ht="30" x14ac:dyDescent="0.2">
      <c r="A17" s="57"/>
      <c r="B17" s="60" t="s">
        <v>15</v>
      </c>
      <c r="C17" s="40"/>
      <c r="D17" s="44"/>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row>
    <row r="18" spans="1:35" x14ac:dyDescent="0.2">
      <c r="A18" s="57"/>
      <c r="B18" s="60"/>
      <c r="C18" s="40"/>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row>
    <row r="19" spans="1:35" ht="108" customHeight="1" x14ac:dyDescent="0.2">
      <c r="A19" s="57"/>
      <c r="B19" s="62" t="s">
        <v>16</v>
      </c>
      <c r="C19" s="10"/>
      <c r="D19" s="44"/>
      <c r="E19" s="44"/>
      <c r="F19" s="44"/>
      <c r="G19" s="44"/>
      <c r="H19" s="44"/>
      <c r="I19" s="44"/>
      <c r="J19" s="44"/>
      <c r="K19" s="44"/>
      <c r="L19" s="44"/>
      <c r="M19" s="44"/>
      <c r="N19" s="44"/>
      <c r="O19" s="44"/>
      <c r="P19" s="44"/>
      <c r="Q19" s="44"/>
      <c r="R19" s="44"/>
      <c r="S19" s="44"/>
      <c r="T19" s="44"/>
      <c r="U19" s="44"/>
      <c r="V19" s="44"/>
      <c r="W19" s="44"/>
      <c r="X19" s="44"/>
      <c r="Y19" s="44"/>
      <c r="Z19" s="44"/>
      <c r="AA19" s="44"/>
      <c r="AB19" s="44"/>
      <c r="AC19" s="44"/>
      <c r="AD19" s="44"/>
      <c r="AE19" s="44"/>
      <c r="AF19" s="44"/>
      <c r="AG19" s="44"/>
      <c r="AH19" s="44"/>
      <c r="AI19" s="44"/>
    </row>
    <row r="20" spans="1:35" x14ac:dyDescent="0.2">
      <c r="A20" s="57"/>
      <c r="B20" s="61"/>
      <c r="C20" s="10"/>
      <c r="D20" s="44"/>
      <c r="E20" s="44"/>
      <c r="F20" s="44"/>
      <c r="G20" s="44"/>
      <c r="H20" s="44"/>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row>
    <row r="21" spans="1:35" ht="149.25" customHeight="1" x14ac:dyDescent="0.2">
      <c r="A21" s="57"/>
      <c r="B21" s="62" t="s">
        <v>17</v>
      </c>
      <c r="C21" s="39"/>
      <c r="D21" s="44"/>
      <c r="E21" s="44"/>
      <c r="F21" s="44"/>
      <c r="G21" s="44"/>
      <c r="H21" s="44"/>
      <c r="I21" s="44"/>
      <c r="J21" s="44"/>
      <c r="K21" s="44"/>
      <c r="L21" s="44"/>
      <c r="M21" s="44"/>
      <c r="N21" s="44"/>
      <c r="O21" s="44"/>
      <c r="P21" s="44"/>
      <c r="Q21" s="44"/>
      <c r="R21" s="44"/>
      <c r="S21" s="44"/>
      <c r="T21" s="44"/>
      <c r="U21" s="44"/>
      <c r="V21" s="44"/>
      <c r="W21" s="44"/>
      <c r="X21" s="44"/>
      <c r="Y21" s="44"/>
      <c r="Z21" s="44"/>
      <c r="AA21" s="44"/>
      <c r="AB21" s="44"/>
      <c r="AC21" s="44"/>
      <c r="AD21" s="44"/>
      <c r="AE21" s="44"/>
      <c r="AF21" s="44"/>
      <c r="AG21" s="44"/>
      <c r="AH21" s="44"/>
      <c r="AI21" s="44"/>
    </row>
    <row r="22" spans="1:35" ht="60" x14ac:dyDescent="0.2">
      <c r="A22" s="57"/>
      <c r="B22" s="56" t="s">
        <v>18</v>
      </c>
      <c r="C22" s="40"/>
      <c r="D22" s="44"/>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c r="AH22" s="44"/>
      <c r="AI22" s="44"/>
    </row>
    <row r="23" spans="1:35" x14ac:dyDescent="0.2">
      <c r="A23" s="59"/>
      <c r="B23" s="56"/>
      <c r="C23" s="40"/>
      <c r="D23" s="44"/>
      <c r="E23" s="44"/>
      <c r="F23" s="44"/>
      <c r="G23" s="44"/>
      <c r="H23" s="44"/>
      <c r="I23" s="44"/>
      <c r="J23" s="44"/>
      <c r="K23" s="44"/>
      <c r="L23" s="44"/>
      <c r="M23" s="44"/>
      <c r="N23" s="44"/>
      <c r="O23" s="44"/>
      <c r="P23" s="44"/>
      <c r="Q23" s="44"/>
      <c r="R23" s="44"/>
      <c r="S23" s="44"/>
      <c r="T23" s="44"/>
      <c r="U23" s="44"/>
      <c r="V23" s="44"/>
      <c r="W23" s="44"/>
      <c r="X23" s="44"/>
      <c r="Y23" s="44"/>
      <c r="Z23" s="44"/>
      <c r="AA23" s="44"/>
      <c r="AB23" s="44"/>
      <c r="AC23" s="44"/>
      <c r="AD23" s="44"/>
      <c r="AE23" s="44"/>
      <c r="AF23" s="44"/>
      <c r="AG23" s="44"/>
      <c r="AH23" s="44"/>
      <c r="AI23" s="44"/>
    </row>
    <row r="24" spans="1:35" ht="26.25" x14ac:dyDescent="0.2">
      <c r="A24" s="10"/>
      <c r="B24" s="9" t="s">
        <v>19</v>
      </c>
      <c r="C24" s="40"/>
      <c r="D24" s="44"/>
      <c r="E24" s="44"/>
      <c r="F24" s="44"/>
      <c r="G24" s="44"/>
      <c r="H24" s="44"/>
      <c r="I24" s="44"/>
      <c r="J24" s="44"/>
      <c r="K24" s="44"/>
      <c r="L24" s="44"/>
      <c r="M24" s="44"/>
      <c r="N24" s="44"/>
      <c r="O24" s="44"/>
      <c r="P24" s="44"/>
      <c r="Q24" s="44"/>
      <c r="R24" s="44"/>
      <c r="S24" s="44"/>
      <c r="T24" s="44"/>
      <c r="U24" s="44"/>
      <c r="V24" s="44"/>
      <c r="W24" s="44"/>
      <c r="X24" s="44"/>
      <c r="Y24" s="44"/>
      <c r="Z24" s="44"/>
      <c r="AA24" s="44"/>
      <c r="AB24" s="44"/>
      <c r="AC24" s="44"/>
      <c r="AD24" s="44"/>
      <c r="AE24" s="44"/>
      <c r="AF24" s="44"/>
      <c r="AG24" s="44"/>
      <c r="AH24" s="44"/>
      <c r="AI24" s="44"/>
    </row>
    <row r="25" spans="1:35" x14ac:dyDescent="0.2">
      <c r="A25" s="10"/>
      <c r="B25" s="6" t="s">
        <v>20</v>
      </c>
      <c r="D25" s="44"/>
      <c r="E25" s="44"/>
      <c r="F25" s="44"/>
      <c r="G25" s="44"/>
      <c r="H25" s="44"/>
      <c r="I25" s="44"/>
      <c r="J25" s="44"/>
      <c r="K25" s="44"/>
      <c r="L25" s="44"/>
      <c r="M25" s="44"/>
      <c r="N25" s="44"/>
      <c r="O25" s="44"/>
      <c r="P25" s="44"/>
      <c r="Q25" s="44"/>
      <c r="R25" s="44"/>
      <c r="S25" s="44"/>
      <c r="T25" s="44"/>
      <c r="U25" s="44"/>
      <c r="V25" s="44"/>
      <c r="W25" s="44"/>
      <c r="X25" s="44"/>
      <c r="Y25" s="44"/>
      <c r="Z25" s="44"/>
      <c r="AA25" s="44"/>
      <c r="AB25" s="44"/>
      <c r="AC25" s="44"/>
      <c r="AD25" s="44"/>
      <c r="AE25" s="44"/>
      <c r="AF25" s="44"/>
      <c r="AG25" s="44"/>
      <c r="AH25" s="44"/>
      <c r="AI25" s="44"/>
    </row>
    <row r="26" spans="1:35" x14ac:dyDescent="0.2">
      <c r="A26" s="10"/>
      <c r="B26" s="10"/>
      <c r="D26" s="44"/>
      <c r="E26" s="44"/>
      <c r="F26" s="44"/>
      <c r="G26" s="44"/>
      <c r="H26" s="44"/>
      <c r="I26" s="44"/>
      <c r="J26" s="44"/>
      <c r="K26" s="44"/>
      <c r="L26" s="44"/>
      <c r="M26" s="44"/>
      <c r="N26" s="44"/>
      <c r="O26" s="44"/>
      <c r="P26" s="44"/>
      <c r="Q26" s="44"/>
      <c r="R26" s="44"/>
      <c r="S26" s="44"/>
      <c r="T26" s="44"/>
      <c r="U26" s="44"/>
      <c r="V26" s="44"/>
      <c r="W26" s="44"/>
      <c r="X26" s="44"/>
      <c r="Y26" s="44"/>
      <c r="Z26" s="44"/>
      <c r="AA26" s="44"/>
      <c r="AB26" s="44"/>
      <c r="AC26" s="44"/>
      <c r="AD26" s="44"/>
      <c r="AE26" s="44"/>
      <c r="AF26" s="44"/>
      <c r="AG26" s="44"/>
      <c r="AH26" s="44"/>
      <c r="AI26" s="44"/>
    </row>
    <row r="27" spans="1:35" x14ac:dyDescent="0.2">
      <c r="A27" s="10"/>
      <c r="B27" s="10"/>
      <c r="D27" s="44"/>
      <c r="E27" s="44"/>
      <c r="F27" s="44"/>
      <c r="G27" s="44"/>
      <c r="H27" s="44"/>
      <c r="I27" s="44"/>
      <c r="J27" s="44"/>
      <c r="K27" s="44"/>
      <c r="L27" s="44"/>
      <c r="M27" s="44"/>
      <c r="N27" s="44"/>
      <c r="O27" s="44"/>
      <c r="P27" s="44"/>
      <c r="Q27" s="44"/>
      <c r="R27" s="44"/>
      <c r="S27" s="44"/>
      <c r="T27" s="44"/>
      <c r="U27" s="44"/>
      <c r="V27" s="44"/>
      <c r="W27" s="44"/>
      <c r="X27" s="44"/>
      <c r="Y27" s="44"/>
      <c r="Z27" s="44"/>
      <c r="AA27" s="44"/>
      <c r="AB27" s="44"/>
      <c r="AC27" s="44"/>
      <c r="AD27" s="44"/>
      <c r="AE27" s="44"/>
      <c r="AF27" s="44"/>
      <c r="AG27" s="44"/>
      <c r="AH27" s="44"/>
      <c r="AI27" s="44"/>
    </row>
    <row r="28" spans="1:35" x14ac:dyDescent="0.2">
      <c r="A28" s="10"/>
      <c r="B28" s="10"/>
      <c r="D28" s="44"/>
      <c r="E28" s="44"/>
      <c r="F28" s="44"/>
      <c r="G28" s="44"/>
      <c r="H28" s="44"/>
      <c r="I28" s="44"/>
      <c r="J28" s="44"/>
      <c r="K28" s="44"/>
      <c r="L28" s="44"/>
      <c r="M28" s="44"/>
      <c r="N28" s="44"/>
      <c r="O28" s="44"/>
      <c r="P28" s="44"/>
      <c r="Q28" s="44"/>
      <c r="R28" s="44"/>
      <c r="S28" s="44"/>
      <c r="T28" s="44"/>
      <c r="U28" s="44"/>
      <c r="V28" s="44"/>
      <c r="W28" s="44"/>
      <c r="X28" s="44"/>
      <c r="Y28" s="44"/>
      <c r="Z28" s="44"/>
      <c r="AA28" s="44"/>
      <c r="AB28" s="44"/>
      <c r="AC28" s="44"/>
      <c r="AD28" s="44"/>
      <c r="AE28" s="44"/>
      <c r="AF28" s="44"/>
      <c r="AG28" s="44"/>
      <c r="AH28" s="44"/>
      <c r="AI28" s="44"/>
    </row>
    <row r="29" spans="1:35" x14ac:dyDescent="0.2">
      <c r="A29" s="10"/>
      <c r="B29" s="10"/>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row>
    <row r="30" spans="1:35" x14ac:dyDescent="0.2">
      <c r="A30" s="10"/>
      <c r="B30" s="10"/>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row>
    <row r="31" spans="1:35" x14ac:dyDescent="0.2">
      <c r="A31" s="10"/>
      <c r="B31" s="10"/>
      <c r="D31" s="44"/>
      <c r="E31" s="44"/>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row>
    <row r="32" spans="1:35" x14ac:dyDescent="0.2">
      <c r="A32" s="10"/>
      <c r="B32" s="10"/>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row>
    <row r="33" spans="1:35" x14ac:dyDescent="0.2">
      <c r="A33" s="10"/>
      <c r="B33" s="10"/>
      <c r="D33" s="44"/>
      <c r="E33" s="44"/>
      <c r="F33" s="44"/>
      <c r="G33" s="44"/>
      <c r="H33" s="44"/>
      <c r="I33" s="44"/>
      <c r="J33" s="44"/>
      <c r="K33" s="44"/>
      <c r="L33" s="44"/>
      <c r="M33" s="44"/>
      <c r="N33" s="44"/>
      <c r="O33" s="44"/>
      <c r="P33" s="44"/>
      <c r="Q33" s="44"/>
      <c r="R33" s="44"/>
      <c r="S33" s="44"/>
      <c r="T33" s="44"/>
      <c r="U33" s="44"/>
      <c r="V33" s="44"/>
      <c r="W33" s="44"/>
      <c r="X33" s="44"/>
      <c r="Y33" s="44"/>
      <c r="Z33" s="44"/>
      <c r="AA33" s="44"/>
      <c r="AB33" s="44"/>
      <c r="AC33" s="44"/>
      <c r="AD33" s="44"/>
      <c r="AE33" s="44"/>
      <c r="AF33" s="44"/>
      <c r="AG33" s="44"/>
      <c r="AH33" s="44"/>
      <c r="AI33" s="44"/>
    </row>
    <row r="34" spans="1:35" x14ac:dyDescent="0.2">
      <c r="A34" s="10"/>
      <c r="B34" s="10"/>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row>
    <row r="35" spans="1:35" x14ac:dyDescent="0.2">
      <c r="A35" s="10"/>
      <c r="B35" s="10"/>
      <c r="D35" s="44"/>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row>
    <row r="36" spans="1:35" x14ac:dyDescent="0.2">
      <c r="A36" s="10"/>
      <c r="B36" s="10"/>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c r="AE36" s="44"/>
      <c r="AF36" s="44"/>
      <c r="AG36" s="44"/>
      <c r="AH36" s="44"/>
      <c r="AI36" s="44"/>
    </row>
    <row r="37" spans="1:35" x14ac:dyDescent="0.2">
      <c r="A37" s="10"/>
      <c r="B37" s="10"/>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c r="AE37" s="44"/>
      <c r="AF37" s="44"/>
      <c r="AG37" s="44"/>
      <c r="AH37" s="44"/>
      <c r="AI37" s="44"/>
    </row>
    <row r="38" spans="1:35" ht="26.25" x14ac:dyDescent="0.2">
      <c r="A38" s="10"/>
      <c r="B38" s="5" t="s">
        <v>21</v>
      </c>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c r="AE38" s="44"/>
      <c r="AF38" s="44"/>
      <c r="AG38" s="44"/>
      <c r="AH38" s="44"/>
      <c r="AI38" s="44"/>
    </row>
    <row r="39" spans="1:35" x14ac:dyDescent="0.2">
      <c r="A39" s="10"/>
      <c r="B39" s="10" t="s">
        <v>22</v>
      </c>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c r="AE39" s="44"/>
      <c r="AF39" s="44"/>
      <c r="AG39" s="44"/>
      <c r="AH39" s="44"/>
      <c r="AI39" s="44"/>
    </row>
    <row r="40" spans="1:35" x14ac:dyDescent="0.2">
      <c r="A40" s="10"/>
      <c r="B40" s="10" t="s">
        <v>23</v>
      </c>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c r="AE40" s="44"/>
      <c r="AF40" s="44"/>
      <c r="AG40" s="44"/>
      <c r="AH40" s="44"/>
      <c r="AI40" s="44"/>
    </row>
    <row r="41" spans="1:35" x14ac:dyDescent="0.2">
      <c r="A41" s="10"/>
      <c r="B41" s="10"/>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4"/>
      <c r="AF41" s="44"/>
      <c r="AG41" s="44"/>
      <c r="AH41" s="44"/>
      <c r="AI41" s="44"/>
    </row>
    <row r="42" spans="1:35" ht="19.5" x14ac:dyDescent="0.2">
      <c r="A42" s="10"/>
      <c r="B42" s="118" t="s">
        <v>24</v>
      </c>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c r="AE42" s="44"/>
      <c r="AF42" s="44"/>
      <c r="AG42" s="44"/>
      <c r="AH42" s="44"/>
      <c r="AI42" s="44"/>
    </row>
    <row r="43" spans="1:35" ht="21" x14ac:dyDescent="0.2">
      <c r="A43" s="10"/>
      <c r="B43" s="11"/>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row>
    <row r="44" spans="1:35" x14ac:dyDescent="0.2">
      <c r="A44" s="10"/>
      <c r="B44" s="12"/>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row>
    <row r="45" spans="1:35" ht="36" x14ac:dyDescent="0.2">
      <c r="A45" s="10"/>
      <c r="B45" s="13" t="s">
        <v>25</v>
      </c>
      <c r="D45" s="44"/>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c r="AE45" s="44"/>
      <c r="AF45" s="44"/>
      <c r="AG45" s="44"/>
      <c r="AH45" s="44"/>
      <c r="AI45" s="44"/>
    </row>
    <row r="46" spans="1:35" x14ac:dyDescent="0.2">
      <c r="A46" s="42" t="s">
        <v>26</v>
      </c>
      <c r="B46" s="10"/>
      <c r="D46" s="44"/>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c r="AE46" s="44"/>
      <c r="AF46" s="44"/>
      <c r="AG46" s="44"/>
      <c r="AH46" s="44"/>
      <c r="AI46" s="44"/>
    </row>
    <row r="47" spans="1:35" x14ac:dyDescent="0.2">
      <c r="A47" s="46"/>
      <c r="B47" s="46"/>
      <c r="C47" s="44"/>
      <c r="D47" s="44"/>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c r="AE47" s="44"/>
      <c r="AF47" s="44"/>
      <c r="AG47" s="44"/>
      <c r="AH47" s="44"/>
      <c r="AI47" s="44"/>
    </row>
    <row r="48" spans="1:35" x14ac:dyDescent="0.2">
      <c r="A48" s="44"/>
      <c r="B48" s="44"/>
      <c r="C48" s="44"/>
      <c r="D48" s="44"/>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row>
    <row r="49" spans="1:35" x14ac:dyDescent="0.2">
      <c r="A49" s="44"/>
      <c r="B49" s="44"/>
      <c r="C49" s="44"/>
      <c r="D49" s="44"/>
      <c r="E49" s="44"/>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4"/>
      <c r="AG49" s="44"/>
      <c r="AH49" s="44"/>
      <c r="AI49" s="44"/>
    </row>
    <row r="50" spans="1:35" x14ac:dyDescent="0.2">
      <c r="A50" s="44"/>
      <c r="B50" s="44"/>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row>
    <row r="51" spans="1:35" x14ac:dyDescent="0.2">
      <c r="A51" s="44"/>
      <c r="B51" s="44"/>
      <c r="C51" s="44"/>
      <c r="D51" s="44"/>
      <c r="E51" s="44"/>
      <c r="F51" s="44"/>
      <c r="G51" s="44"/>
      <c r="H51" s="44"/>
      <c r="I51" s="44"/>
      <c r="J51" s="44"/>
      <c r="K51" s="44"/>
      <c r="L51" s="44"/>
      <c r="M51" s="44"/>
      <c r="N51" s="44"/>
      <c r="O51" s="44"/>
      <c r="P51" s="44"/>
      <c r="Q51" s="44"/>
      <c r="R51" s="44"/>
      <c r="S51" s="44"/>
      <c r="T51" s="44"/>
      <c r="U51" s="44"/>
      <c r="V51" s="44"/>
      <c r="W51" s="44"/>
      <c r="X51" s="44"/>
      <c r="Y51" s="44"/>
      <c r="Z51" s="44"/>
      <c r="AA51" s="44"/>
      <c r="AB51" s="44"/>
      <c r="AC51" s="44"/>
      <c r="AD51" s="44"/>
      <c r="AE51" s="44"/>
      <c r="AF51" s="44"/>
      <c r="AG51" s="44"/>
      <c r="AH51" s="44"/>
      <c r="AI51" s="44"/>
    </row>
    <row r="52" spans="1:35" x14ac:dyDescent="0.2">
      <c r="A52" s="44"/>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row>
    <row r="53" spans="1:35" x14ac:dyDescent="0.2">
      <c r="A53" s="44"/>
      <c r="B53" s="44"/>
      <c r="C53" s="44"/>
      <c r="D53" s="44"/>
      <c r="E53" s="44"/>
      <c r="F53" s="44"/>
      <c r="G53" s="44"/>
      <c r="H53" s="44"/>
      <c r="I53" s="44"/>
      <c r="J53" s="44"/>
      <c r="K53" s="44"/>
      <c r="L53" s="44"/>
      <c r="M53" s="44"/>
      <c r="N53" s="44"/>
      <c r="O53" s="44"/>
      <c r="P53" s="44"/>
      <c r="Q53" s="44"/>
      <c r="R53" s="44"/>
      <c r="S53" s="44"/>
      <c r="T53" s="44"/>
      <c r="U53" s="44"/>
      <c r="V53" s="44"/>
      <c r="W53" s="44"/>
      <c r="X53" s="44"/>
      <c r="Y53" s="44"/>
      <c r="Z53" s="44"/>
      <c r="AA53" s="44"/>
      <c r="AB53" s="44"/>
      <c r="AC53" s="44"/>
      <c r="AD53" s="44"/>
      <c r="AE53" s="44"/>
      <c r="AF53" s="44"/>
      <c r="AG53" s="44"/>
      <c r="AH53" s="44"/>
      <c r="AI53" s="44"/>
    </row>
    <row r="54" spans="1:35" x14ac:dyDescent="0.2">
      <c r="A54" s="44"/>
      <c r="B54" s="44"/>
      <c r="C54" s="44"/>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row>
    <row r="55" spans="1:35" x14ac:dyDescent="0.2">
      <c r="A55" s="44"/>
      <c r="B55" s="44"/>
      <c r="C55" s="44"/>
      <c r="D55" s="44"/>
      <c r="E55" s="44"/>
      <c r="F55" s="44"/>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row>
    <row r="56" spans="1:35" x14ac:dyDescent="0.2">
      <c r="A56" s="44"/>
      <c r="B56" s="44"/>
      <c r="C56" s="44"/>
      <c r="D56" s="44"/>
      <c r="E56" s="44"/>
      <c r="F56" s="44"/>
      <c r="G56" s="44"/>
      <c r="H56" s="44"/>
      <c r="I56" s="44"/>
      <c r="J56" s="44"/>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row>
    <row r="57" spans="1:35" x14ac:dyDescent="0.2">
      <c r="A57" s="44"/>
      <c r="B57" s="44"/>
      <c r="C57" s="44"/>
      <c r="D57" s="44"/>
      <c r="E57" s="44"/>
      <c r="F57" s="44"/>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row>
    <row r="58" spans="1:35" x14ac:dyDescent="0.2">
      <c r="A58" s="44"/>
      <c r="B58" s="44"/>
      <c r="C58" s="44"/>
      <c r="D58" s="44"/>
      <c r="E58" s="44"/>
      <c r="F58" s="44"/>
      <c r="G58" s="44"/>
      <c r="H58" s="44"/>
      <c r="I58" s="44"/>
      <c r="J58" s="44"/>
      <c r="K58" s="44"/>
      <c r="L58" s="44"/>
      <c r="M58" s="44"/>
      <c r="N58" s="44"/>
      <c r="O58" s="44"/>
      <c r="P58" s="44"/>
      <c r="Q58" s="44"/>
      <c r="R58" s="44"/>
      <c r="S58" s="44"/>
      <c r="T58" s="44"/>
      <c r="U58" s="44"/>
      <c r="V58" s="44"/>
      <c r="W58" s="44"/>
      <c r="X58" s="44"/>
      <c r="Y58" s="44"/>
      <c r="Z58" s="44"/>
      <c r="AA58" s="44"/>
      <c r="AB58" s="44"/>
      <c r="AC58" s="44"/>
      <c r="AD58" s="44"/>
      <c r="AE58" s="44"/>
      <c r="AF58" s="44"/>
      <c r="AG58" s="44"/>
      <c r="AH58" s="44"/>
      <c r="AI58" s="44"/>
    </row>
    <row r="59" spans="1:35" x14ac:dyDescent="0.2">
      <c r="A59" s="44"/>
      <c r="B59" s="44"/>
      <c r="C59" s="44"/>
      <c r="D59" s="44"/>
      <c r="E59" s="44"/>
      <c r="F59" s="44"/>
      <c r="G59" s="44"/>
      <c r="H59" s="44"/>
      <c r="I59" s="44"/>
      <c r="J59" s="44"/>
      <c r="K59" s="44"/>
      <c r="L59" s="44"/>
      <c r="M59" s="44"/>
      <c r="N59" s="44"/>
      <c r="O59" s="44"/>
      <c r="P59" s="44"/>
      <c r="Q59" s="44"/>
      <c r="R59" s="44"/>
      <c r="S59" s="44"/>
      <c r="T59" s="44"/>
      <c r="U59" s="44"/>
      <c r="V59" s="44"/>
      <c r="W59" s="44"/>
      <c r="X59" s="44"/>
      <c r="Y59" s="44"/>
      <c r="Z59" s="44"/>
      <c r="AA59" s="44"/>
      <c r="AB59" s="44"/>
      <c r="AC59" s="44"/>
      <c r="AD59" s="44"/>
      <c r="AE59" s="44"/>
      <c r="AF59" s="44"/>
      <c r="AG59" s="44"/>
      <c r="AH59" s="44"/>
      <c r="AI59" s="44"/>
    </row>
    <row r="60" spans="1:35" x14ac:dyDescent="0.2">
      <c r="A60" s="44"/>
      <c r="B60" s="44"/>
      <c r="C60" s="44"/>
      <c r="D60" s="44"/>
      <c r="E60" s="44"/>
      <c r="F60" s="44"/>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c r="AI60" s="44"/>
    </row>
    <row r="61" spans="1:35" x14ac:dyDescent="0.2">
      <c r="A61" s="44"/>
      <c r="B61" s="44"/>
      <c r="C61" s="44"/>
      <c r="D61" s="44"/>
      <c r="E61" s="44"/>
      <c r="F61" s="44"/>
      <c r="G61" s="44"/>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4"/>
      <c r="AI61" s="44"/>
    </row>
    <row r="62" spans="1:35" x14ac:dyDescent="0.2">
      <c r="A62" s="44"/>
      <c r="B62" s="44"/>
      <c r="C62" s="44"/>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row>
    <row r="63" spans="1:35" x14ac:dyDescent="0.2">
      <c r="A63" s="44"/>
      <c r="B63" s="44"/>
      <c r="C63" s="44"/>
      <c r="D63" s="44"/>
      <c r="E63" s="44"/>
      <c r="F63" s="44"/>
      <c r="G63" s="44"/>
      <c r="H63" s="44"/>
      <c r="I63" s="44"/>
      <c r="J63" s="44"/>
      <c r="K63" s="44"/>
      <c r="L63" s="44"/>
      <c r="M63" s="44"/>
      <c r="N63" s="44"/>
      <c r="O63" s="44"/>
      <c r="P63" s="44"/>
      <c r="Q63" s="44"/>
      <c r="R63" s="44"/>
      <c r="S63" s="44"/>
      <c r="T63" s="44"/>
      <c r="U63" s="44"/>
      <c r="V63" s="44"/>
      <c r="W63" s="44"/>
      <c r="X63" s="44"/>
      <c r="Y63" s="44"/>
      <c r="Z63" s="44"/>
      <c r="AA63" s="44"/>
      <c r="AB63" s="44"/>
      <c r="AC63" s="44"/>
      <c r="AD63" s="44"/>
      <c r="AE63" s="44"/>
      <c r="AF63" s="44"/>
      <c r="AG63" s="44"/>
      <c r="AH63" s="44"/>
      <c r="AI63" s="44"/>
    </row>
    <row r="64" spans="1:35" x14ac:dyDescent="0.2">
      <c r="A64" s="44"/>
      <c r="B64" s="44"/>
      <c r="C64" s="44"/>
      <c r="D64" s="44"/>
      <c r="E64" s="44"/>
      <c r="F64" s="44"/>
      <c r="G64" s="44"/>
      <c r="H64" s="44"/>
      <c r="I64" s="44"/>
      <c r="J64" s="44"/>
      <c r="K64" s="44"/>
      <c r="L64" s="44"/>
      <c r="M64" s="44"/>
      <c r="N64" s="44"/>
      <c r="O64" s="44"/>
      <c r="P64" s="44"/>
      <c r="Q64" s="44"/>
      <c r="R64" s="44"/>
      <c r="S64" s="44"/>
      <c r="T64" s="44"/>
      <c r="U64" s="44"/>
      <c r="V64" s="44"/>
      <c r="W64" s="44"/>
      <c r="X64" s="44"/>
      <c r="Y64" s="44"/>
      <c r="Z64" s="44"/>
      <c r="AA64" s="44"/>
      <c r="AB64" s="44"/>
      <c r="AC64" s="44"/>
      <c r="AD64" s="44"/>
      <c r="AE64" s="44"/>
      <c r="AF64" s="44"/>
      <c r="AG64" s="44"/>
      <c r="AH64" s="44"/>
      <c r="AI64" s="44"/>
    </row>
    <row r="65" spans="1:35" x14ac:dyDescent="0.2">
      <c r="A65" s="44"/>
      <c r="B65" s="44"/>
      <c r="C65" s="44"/>
      <c r="D65" s="44"/>
      <c r="E65" s="44"/>
      <c r="F65" s="44"/>
      <c r="G65" s="44"/>
      <c r="H65" s="44"/>
      <c r="I65" s="44"/>
      <c r="J65" s="44"/>
      <c r="K65" s="44"/>
      <c r="L65" s="44"/>
      <c r="M65" s="44"/>
      <c r="N65" s="44"/>
      <c r="O65" s="44"/>
      <c r="P65" s="44"/>
      <c r="Q65" s="44"/>
      <c r="R65" s="44"/>
      <c r="S65" s="44"/>
      <c r="T65" s="44"/>
      <c r="U65" s="44"/>
      <c r="V65" s="44"/>
      <c r="W65" s="44"/>
      <c r="X65" s="44"/>
      <c r="Y65" s="44"/>
      <c r="Z65" s="44"/>
      <c r="AA65" s="44"/>
      <c r="AB65" s="44"/>
      <c r="AC65" s="44"/>
      <c r="AD65" s="44"/>
      <c r="AE65" s="44"/>
      <c r="AF65" s="44"/>
      <c r="AG65" s="44"/>
      <c r="AH65" s="44"/>
      <c r="AI65" s="44"/>
    </row>
    <row r="66" spans="1:35" x14ac:dyDescent="0.2">
      <c r="A66" s="44"/>
      <c r="B66" s="44"/>
      <c r="C66" s="44"/>
      <c r="D66" s="44"/>
      <c r="E66" s="44"/>
      <c r="F66" s="44"/>
      <c r="G66" s="44"/>
      <c r="H66" s="44"/>
      <c r="I66" s="44"/>
      <c r="J66" s="44"/>
      <c r="K66" s="44"/>
      <c r="L66" s="44"/>
      <c r="M66" s="44"/>
      <c r="N66" s="44"/>
      <c r="O66" s="44"/>
      <c r="P66" s="44"/>
      <c r="Q66" s="44"/>
      <c r="R66" s="44"/>
      <c r="S66" s="44"/>
      <c r="T66" s="44"/>
      <c r="U66" s="44"/>
      <c r="V66" s="44"/>
      <c r="W66" s="44"/>
      <c r="X66" s="44"/>
      <c r="Y66" s="44"/>
      <c r="Z66" s="44"/>
      <c r="AA66" s="44"/>
      <c r="AB66" s="44"/>
      <c r="AC66" s="44"/>
      <c r="AD66" s="44"/>
      <c r="AE66" s="44"/>
      <c r="AF66" s="44"/>
      <c r="AG66" s="44"/>
      <c r="AH66" s="44"/>
      <c r="AI66" s="44"/>
    </row>
    <row r="67" spans="1:35" x14ac:dyDescent="0.2">
      <c r="A67" s="44"/>
      <c r="B67" s="44"/>
      <c r="C67" s="44"/>
      <c r="D67" s="44"/>
      <c r="E67" s="44"/>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row>
    <row r="68" spans="1:35" x14ac:dyDescent="0.2">
      <c r="A68" s="44"/>
      <c r="B68" s="44"/>
      <c r="C68" s="44"/>
      <c r="D68" s="44"/>
      <c r="E68" s="44"/>
      <c r="F68" s="44"/>
      <c r="G68" s="44"/>
      <c r="H68" s="44"/>
      <c r="I68" s="44"/>
      <c r="J68" s="44"/>
      <c r="K68" s="44"/>
      <c r="L68" s="44"/>
      <c r="M68" s="44"/>
      <c r="N68" s="44"/>
      <c r="O68" s="44"/>
      <c r="P68" s="44"/>
      <c r="Q68" s="44"/>
      <c r="R68" s="44"/>
      <c r="S68" s="44"/>
      <c r="T68" s="44"/>
      <c r="U68" s="44"/>
      <c r="V68" s="44"/>
      <c r="W68" s="44"/>
      <c r="X68" s="44"/>
      <c r="Y68" s="44"/>
      <c r="Z68" s="44"/>
      <c r="AA68" s="44"/>
      <c r="AB68" s="44"/>
      <c r="AC68" s="44"/>
      <c r="AD68" s="44"/>
      <c r="AE68" s="44"/>
      <c r="AF68" s="44"/>
      <c r="AG68" s="44"/>
      <c r="AH68" s="44"/>
      <c r="AI68" s="44"/>
    </row>
    <row r="69" spans="1:35" x14ac:dyDescent="0.2">
      <c r="A69" s="44"/>
      <c r="B69" s="44"/>
      <c r="C69" s="44"/>
      <c r="D69" s="44"/>
      <c r="E69" s="44"/>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row>
    <row r="70" spans="1:35" x14ac:dyDescent="0.2">
      <c r="A70" s="44"/>
      <c r="B70" s="44"/>
      <c r="C70" s="44"/>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row>
    <row r="71" spans="1:35" x14ac:dyDescent="0.2">
      <c r="A71" s="44"/>
      <c r="B71" s="44"/>
      <c r="C71" s="44"/>
      <c r="D71" s="44"/>
      <c r="E71" s="44"/>
      <c r="F71" s="44"/>
      <c r="G71" s="44"/>
      <c r="H71" s="44"/>
      <c r="I71" s="44"/>
      <c r="J71" s="44"/>
      <c r="K71" s="44"/>
      <c r="L71" s="44"/>
      <c r="M71" s="44"/>
      <c r="N71" s="44"/>
      <c r="O71" s="44"/>
      <c r="P71" s="44"/>
      <c r="Q71" s="44"/>
      <c r="R71" s="44"/>
      <c r="S71" s="44"/>
      <c r="T71" s="44"/>
      <c r="U71" s="44"/>
      <c r="V71" s="44"/>
      <c r="W71" s="44"/>
      <c r="X71" s="44"/>
      <c r="Y71" s="44"/>
      <c r="Z71" s="44"/>
      <c r="AA71" s="44"/>
      <c r="AB71" s="44"/>
      <c r="AC71" s="44"/>
      <c r="AD71" s="44"/>
      <c r="AE71" s="44"/>
      <c r="AF71" s="44"/>
      <c r="AG71" s="44"/>
      <c r="AH71" s="44"/>
      <c r="AI71" s="44"/>
    </row>
    <row r="72" spans="1:35" x14ac:dyDescent="0.2">
      <c r="A72" s="44"/>
      <c r="B72" s="44"/>
      <c r="C72" s="44"/>
      <c r="D72" s="44"/>
      <c r="E72" s="44"/>
      <c r="F72" s="44"/>
      <c r="G72" s="44"/>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row>
    <row r="73" spans="1:35" x14ac:dyDescent="0.2">
      <c r="A73" s="44"/>
      <c r="B73" s="44"/>
      <c r="C73" s="44"/>
      <c r="D73" s="44"/>
      <c r="E73" s="44"/>
      <c r="F73" s="44"/>
      <c r="G73" s="44"/>
      <c r="H73" s="44"/>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row>
    <row r="74" spans="1:35" x14ac:dyDescent="0.2">
      <c r="A74" s="44"/>
      <c r="B74" s="44"/>
      <c r="C74" s="44"/>
      <c r="D74" s="44"/>
      <c r="E74" s="44"/>
      <c r="F74" s="44"/>
      <c r="G74" s="44"/>
      <c r="H74" s="44"/>
      <c r="I74" s="44"/>
      <c r="J74" s="44"/>
      <c r="K74" s="44"/>
      <c r="L74" s="44"/>
      <c r="M74" s="44"/>
      <c r="N74" s="44"/>
      <c r="O74" s="44"/>
      <c r="P74" s="44"/>
      <c r="Q74" s="44"/>
      <c r="R74" s="44"/>
      <c r="S74" s="44"/>
      <c r="T74" s="44"/>
      <c r="U74" s="44"/>
      <c r="V74" s="44"/>
      <c r="W74" s="44"/>
      <c r="X74" s="44"/>
      <c r="Y74" s="44"/>
      <c r="Z74" s="44"/>
      <c r="AA74" s="44"/>
      <c r="AB74" s="44"/>
      <c r="AC74" s="44"/>
      <c r="AD74" s="44"/>
      <c r="AE74" s="44"/>
      <c r="AF74" s="44"/>
      <c r="AG74" s="44"/>
      <c r="AH74" s="44"/>
      <c r="AI74" s="44"/>
    </row>
    <row r="75" spans="1:35" x14ac:dyDescent="0.2">
      <c r="A75" s="44"/>
      <c r="B75" s="44"/>
      <c r="C75" s="44"/>
      <c r="D75" s="44"/>
      <c r="E75" s="44"/>
      <c r="F75" s="44"/>
      <c r="G75" s="44"/>
      <c r="H75" s="44"/>
      <c r="I75" s="44"/>
      <c r="J75" s="44"/>
      <c r="K75" s="44"/>
      <c r="L75" s="44"/>
      <c r="M75" s="44"/>
      <c r="N75" s="44"/>
      <c r="O75" s="44"/>
      <c r="P75" s="44"/>
      <c r="Q75" s="44"/>
      <c r="R75" s="44"/>
      <c r="S75" s="44"/>
      <c r="T75" s="44"/>
      <c r="U75" s="44"/>
      <c r="V75" s="44"/>
      <c r="W75" s="44"/>
      <c r="X75" s="44"/>
      <c r="Y75" s="44"/>
      <c r="Z75" s="44"/>
      <c r="AA75" s="44"/>
      <c r="AB75" s="44"/>
      <c r="AC75" s="44"/>
      <c r="AD75" s="44"/>
      <c r="AE75" s="44"/>
      <c r="AF75" s="44"/>
      <c r="AG75" s="44"/>
      <c r="AH75" s="44"/>
      <c r="AI75" s="44"/>
    </row>
    <row r="76" spans="1:35" x14ac:dyDescent="0.2">
      <c r="A76" s="44"/>
      <c r="B76" s="44"/>
      <c r="C76" s="44"/>
      <c r="D76" s="44"/>
      <c r="E76" s="44"/>
      <c r="F76" s="44"/>
      <c r="G76" s="44"/>
      <c r="H76" s="44"/>
      <c r="I76" s="44"/>
      <c r="J76" s="44"/>
      <c r="K76" s="44"/>
      <c r="L76" s="44"/>
      <c r="M76" s="44"/>
      <c r="N76" s="44"/>
      <c r="O76" s="44"/>
      <c r="P76" s="44"/>
      <c r="Q76" s="44"/>
      <c r="R76" s="44"/>
      <c r="S76" s="44"/>
      <c r="T76" s="44"/>
      <c r="U76" s="44"/>
      <c r="V76" s="44"/>
      <c r="W76" s="44"/>
      <c r="X76" s="44"/>
      <c r="Y76" s="44"/>
      <c r="Z76" s="44"/>
      <c r="AA76" s="44"/>
      <c r="AB76" s="44"/>
      <c r="AC76" s="44"/>
      <c r="AD76" s="44"/>
      <c r="AE76" s="44"/>
      <c r="AF76" s="44"/>
      <c r="AG76" s="44"/>
      <c r="AH76" s="44"/>
      <c r="AI76" s="44"/>
    </row>
    <row r="77" spans="1:35" x14ac:dyDescent="0.2">
      <c r="A77" s="44"/>
      <c r="B77" s="44"/>
      <c r="C77" s="44"/>
      <c r="D77" s="44"/>
      <c r="E77" s="44"/>
      <c r="F77" s="44"/>
      <c r="G77" s="44"/>
      <c r="H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row>
    <row r="78" spans="1:35" x14ac:dyDescent="0.2">
      <c r="A78" s="44"/>
      <c r="B78" s="44"/>
      <c r="C78" s="44"/>
      <c r="D78" s="44"/>
      <c r="E78" s="44"/>
      <c r="F78" s="44"/>
      <c r="G78" s="44"/>
      <c r="H78" s="44"/>
      <c r="I78" s="44"/>
      <c r="J78" s="44"/>
      <c r="K78" s="44"/>
      <c r="L78" s="44"/>
      <c r="M78" s="44"/>
      <c r="N78" s="44"/>
      <c r="O78" s="44"/>
      <c r="P78" s="44"/>
      <c r="Q78" s="44"/>
      <c r="R78" s="44"/>
      <c r="S78" s="44"/>
      <c r="T78" s="44"/>
      <c r="U78" s="44"/>
      <c r="V78" s="44"/>
      <c r="W78" s="44"/>
      <c r="X78" s="44"/>
      <c r="Y78" s="44"/>
      <c r="Z78" s="44"/>
      <c r="AA78" s="44"/>
      <c r="AB78" s="44"/>
      <c r="AC78" s="44"/>
      <c r="AD78" s="44"/>
      <c r="AE78" s="44"/>
      <c r="AF78" s="44"/>
      <c r="AG78" s="44"/>
      <c r="AH78" s="44"/>
      <c r="AI78" s="44"/>
    </row>
    <row r="79" spans="1:35" x14ac:dyDescent="0.2">
      <c r="A79" s="44"/>
      <c r="B79" s="44"/>
      <c r="C79" s="44"/>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row>
    <row r="80" spans="1:35" x14ac:dyDescent="0.2">
      <c r="A80" s="44"/>
      <c r="B80" s="44"/>
      <c r="C80" s="44"/>
      <c r="D80" s="44"/>
      <c r="E80" s="44"/>
      <c r="F80" s="44"/>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row>
    <row r="81" spans="1:35" x14ac:dyDescent="0.2">
      <c r="A81" s="44"/>
      <c r="B81" s="44"/>
      <c r="C81" s="44"/>
      <c r="D81" s="44"/>
      <c r="E81" s="44"/>
      <c r="F81" s="44"/>
      <c r="G81" s="44"/>
      <c r="H81" s="44"/>
      <c r="I81" s="44"/>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row>
    <row r="82" spans="1:35" x14ac:dyDescent="0.2">
      <c r="A82" s="44"/>
      <c r="B82" s="44"/>
      <c r="C82" s="44"/>
      <c r="D82" s="44"/>
      <c r="E82" s="44"/>
      <c r="F82" s="44"/>
      <c r="G82" s="44"/>
      <c r="H82" s="44"/>
      <c r="I82" s="44"/>
      <c r="J82" s="44"/>
      <c r="K82" s="44"/>
      <c r="L82" s="44"/>
      <c r="M82" s="44"/>
      <c r="N82" s="44"/>
      <c r="O82" s="44"/>
      <c r="P82" s="44"/>
      <c r="Q82" s="44"/>
      <c r="R82" s="44"/>
      <c r="S82" s="44"/>
      <c r="T82" s="44"/>
      <c r="U82" s="44"/>
      <c r="V82" s="44"/>
      <c r="W82" s="44"/>
      <c r="X82" s="44"/>
      <c r="Y82" s="44"/>
      <c r="Z82" s="44"/>
      <c r="AA82" s="44"/>
      <c r="AB82" s="44"/>
      <c r="AC82" s="44"/>
      <c r="AD82" s="44"/>
      <c r="AE82" s="44"/>
      <c r="AF82" s="44"/>
      <c r="AG82" s="44"/>
      <c r="AH82" s="44"/>
      <c r="AI82" s="44"/>
    </row>
    <row r="83" spans="1:35" x14ac:dyDescent="0.2">
      <c r="A83" s="44"/>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row>
    <row r="84" spans="1:35" x14ac:dyDescent="0.2">
      <c r="A84" s="44"/>
      <c r="B84" s="44"/>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row>
    <row r="85" spans="1:35" x14ac:dyDescent="0.2">
      <c r="A85" s="44"/>
      <c r="B85" s="44"/>
      <c r="C85" s="44"/>
      <c r="D85" s="44"/>
      <c r="E85" s="44"/>
      <c r="F85" s="44"/>
      <c r="G85" s="44"/>
      <c r="H85" s="44"/>
      <c r="I85" s="44"/>
      <c r="J85" s="44"/>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44"/>
    </row>
    <row r="86" spans="1:35" x14ac:dyDescent="0.2">
      <c r="A86" s="44"/>
      <c r="B86" s="44"/>
      <c r="C86" s="44"/>
      <c r="D86" s="44"/>
      <c r="E86" s="44"/>
      <c r="F86" s="44"/>
      <c r="G86" s="44"/>
      <c r="H86" s="44"/>
      <c r="I86" s="44"/>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row>
    <row r="87" spans="1:35" x14ac:dyDescent="0.2">
      <c r="A87" s="44"/>
      <c r="B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row>
    <row r="88" spans="1:35" x14ac:dyDescent="0.2">
      <c r="A88" s="44"/>
      <c r="B88" s="44"/>
      <c r="C88" s="44"/>
      <c r="D88" s="44"/>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44"/>
    </row>
    <row r="89" spans="1:35" x14ac:dyDescent="0.2">
      <c r="A89" s="44"/>
      <c r="B89" s="44"/>
      <c r="C89" s="44"/>
      <c r="D89" s="44"/>
      <c r="E89" s="44"/>
      <c r="F89" s="44"/>
      <c r="G89" s="44"/>
      <c r="H89" s="44"/>
      <c r="I89" s="44"/>
      <c r="J89" s="44"/>
      <c r="K89" s="44"/>
      <c r="L89" s="44"/>
      <c r="M89" s="44"/>
      <c r="N89" s="44"/>
      <c r="O89" s="44"/>
      <c r="P89" s="44"/>
      <c r="Q89" s="44"/>
      <c r="R89" s="44"/>
      <c r="S89" s="44"/>
      <c r="T89" s="44"/>
      <c r="U89" s="44"/>
      <c r="V89" s="44"/>
      <c r="W89" s="44"/>
      <c r="X89" s="44"/>
      <c r="Y89" s="44"/>
      <c r="Z89" s="44"/>
      <c r="AA89" s="44"/>
      <c r="AB89" s="44"/>
      <c r="AC89" s="44"/>
      <c r="AD89" s="44"/>
      <c r="AE89" s="44"/>
      <c r="AF89" s="44"/>
      <c r="AG89" s="44"/>
      <c r="AH89" s="44"/>
      <c r="AI89" s="44"/>
    </row>
    <row r="90" spans="1:35" x14ac:dyDescent="0.2">
      <c r="A90" s="44"/>
      <c r="B90" s="44"/>
      <c r="C90" s="44"/>
      <c r="D90" s="44"/>
      <c r="E90" s="44"/>
      <c r="F90" s="44"/>
      <c r="G90" s="44"/>
      <c r="H90" s="44"/>
      <c r="I90" s="44"/>
      <c r="J90" s="44"/>
      <c r="K90" s="44"/>
      <c r="L90" s="44"/>
      <c r="M90" s="44"/>
      <c r="N90" s="44"/>
      <c r="O90" s="44"/>
      <c r="P90" s="44"/>
      <c r="Q90" s="44"/>
      <c r="R90" s="44"/>
      <c r="S90" s="44"/>
      <c r="T90" s="44"/>
      <c r="U90" s="44"/>
      <c r="V90" s="44"/>
      <c r="W90" s="44"/>
      <c r="X90" s="44"/>
      <c r="Y90" s="44"/>
      <c r="Z90" s="44"/>
      <c r="AA90" s="44"/>
      <c r="AB90" s="44"/>
      <c r="AC90" s="44"/>
      <c r="AD90" s="44"/>
      <c r="AE90" s="44"/>
      <c r="AF90" s="44"/>
      <c r="AG90" s="44"/>
      <c r="AH90" s="44"/>
      <c r="AI90" s="44"/>
    </row>
    <row r="91" spans="1:35" x14ac:dyDescent="0.2">
      <c r="A91" s="44"/>
      <c r="B91" s="44"/>
    </row>
    <row r="92" spans="1:35" x14ac:dyDescent="0.2">
      <c r="A92" s="44"/>
      <c r="B92" s="44"/>
    </row>
    <row r="93" spans="1:35" x14ac:dyDescent="0.2">
      <c r="A93" s="44"/>
      <c r="B93" s="44"/>
    </row>
    <row r="94" spans="1:35" x14ac:dyDescent="0.2">
      <c r="A94" s="44"/>
      <c r="B94" s="44"/>
    </row>
    <row r="95" spans="1:35" x14ac:dyDescent="0.2">
      <c r="A95" s="44"/>
      <c r="B95" s="44"/>
    </row>
    <row r="96" spans="1:35" x14ac:dyDescent="0.2">
      <c r="A96" s="44"/>
      <c r="B96" s="44"/>
    </row>
    <row r="97" spans="1:2" x14ac:dyDescent="0.2">
      <c r="A97" s="44"/>
      <c r="B97" s="44"/>
    </row>
    <row r="98" spans="1:2" x14ac:dyDescent="0.2">
      <c r="A98" s="44"/>
      <c r="B98" s="44"/>
    </row>
    <row r="99" spans="1:2" x14ac:dyDescent="0.2">
      <c r="A99" s="44"/>
      <c r="B99" s="44"/>
    </row>
    <row r="100" spans="1:2" x14ac:dyDescent="0.2">
      <c r="A100" s="44"/>
      <c r="B100" s="44"/>
    </row>
    <row r="101" spans="1:2" x14ac:dyDescent="0.2">
      <c r="A101" s="44"/>
      <c r="B101" s="44"/>
    </row>
    <row r="102" spans="1:2" x14ac:dyDescent="0.2">
      <c r="A102" s="44"/>
      <c r="B102" s="44"/>
    </row>
    <row r="103" spans="1:2" x14ac:dyDescent="0.2">
      <c r="A103" s="44"/>
      <c r="B103" s="44"/>
    </row>
    <row r="104" spans="1:2" x14ac:dyDescent="0.2">
      <c r="A104" s="44"/>
      <c r="B104" s="44"/>
    </row>
    <row r="105" spans="1:2" x14ac:dyDescent="0.2">
      <c r="A105" s="44"/>
      <c r="B105" s="44"/>
    </row>
    <row r="106" spans="1:2" x14ac:dyDescent="0.2">
      <c r="A106" s="44"/>
      <c r="B106" s="44"/>
    </row>
    <row r="107" spans="1:2" x14ac:dyDescent="0.2">
      <c r="A107" s="44"/>
      <c r="B107" s="44"/>
    </row>
    <row r="108" spans="1:2" x14ac:dyDescent="0.2">
      <c r="A108" s="44"/>
      <c r="B108" s="44"/>
    </row>
    <row r="109" spans="1:2" x14ac:dyDescent="0.2">
      <c r="A109" s="44"/>
      <c r="B109" s="44"/>
    </row>
    <row r="110" spans="1:2" x14ac:dyDescent="0.2">
      <c r="A110" s="44"/>
      <c r="B110" s="44"/>
    </row>
  </sheetData>
  <sheetProtection algorithmName="SHA-512" hashValue="tytXmkF10Eu1DSrq6G7WRkJBnrzx2xfRkH+b8OlQxVQ9bK1PVdZoSAB99hxae8QOeSy4Fu/ybTvPOQ4UltPAAg==" saltValue="LBvct6WG0YF9y517AJyxpA==" spinCount="100000" sheet="1" objects="1" scenarios="1" selectLockedCells="1"/>
  <hyperlinks>
    <hyperlink ref="B7" location="'Investering &amp; Financiering'!A1" display="    Investeringsbegroting" xr:uid="{00000000-0004-0000-0100-000000000000}"/>
    <hyperlink ref="B8" location="'Investering &amp; Financiering'!A1" display="    Financieringsbegroting" xr:uid="{00000000-0004-0000-0100-000001000000}"/>
    <hyperlink ref="B9" location="Exploitatie!A1" display="    Exploitatiebegroting" xr:uid="{00000000-0004-0000-0100-000002000000}"/>
    <hyperlink ref="B10" location="Liquiditeit!A1" display="    Liquiditeitsbegroting" xr:uid="{00000000-0004-0000-0100-000003000000}"/>
    <hyperlink ref="B14" location="VRAGENLIJST!A1" display="Het opstellen van dit financiële plan doe je door het beantwoorden van de vragen die worden gesteld op het tabblad VRAGENIJST" xr:uid="{00000000-0004-0000-0100-000004000000}"/>
    <hyperlink ref="B42" r:id="rId1" xr:uid="{00000000-0004-0000-0100-000005000000}"/>
  </hyperlinks>
  <pageMargins left="0.7" right="0.7" top="0.75" bottom="0.75" header="0.51180555555555551" footer="0.51180555555555551"/>
  <pageSetup paperSize="9" scale="91" firstPageNumber="0" fitToHeight="0" orientation="portrait" r:id="rId2"/>
  <headerFooter alignWithMargins="0"/>
  <colBreaks count="2" manualBreakCount="2">
    <brk id="1" max="1048575" man="1"/>
    <brk id="3" max="1048575" man="1"/>
  </colBreak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2">
    <tabColor rgb="FF232572"/>
    <pageSetUpPr fitToPage="1"/>
  </sheetPr>
  <dimension ref="A1:BO413"/>
  <sheetViews>
    <sheetView zoomScaleNormal="100" workbookViewId="0">
      <pane ySplit="9" topLeftCell="A10" activePane="bottomLeft" state="frozen"/>
      <selection activeCell="L31" sqref="L31"/>
      <selection pane="bottomLeft" activeCell="D4" sqref="D4"/>
    </sheetView>
  </sheetViews>
  <sheetFormatPr defaultColWidth="8.7109375" defaultRowHeight="15" x14ac:dyDescent="0.25"/>
  <cols>
    <col min="1" max="1" width="3.7109375" style="117" customWidth="1"/>
    <col min="2" max="2" width="66" style="20" customWidth="1"/>
    <col min="3" max="3" width="15.42578125" style="238" customWidth="1"/>
    <col min="4" max="4" width="15.7109375" style="221" customWidth="1"/>
    <col min="5" max="5" width="1.7109375" style="404" customWidth="1"/>
    <col min="6" max="6" width="16.28515625" style="216" customWidth="1"/>
    <col min="7" max="7" width="1.7109375" style="428" customWidth="1"/>
    <col min="8" max="8" width="15.7109375" style="217" customWidth="1"/>
    <col min="9" max="9" width="9.5703125" style="19" customWidth="1"/>
    <col min="10" max="10" width="3.5703125" style="32" customWidth="1"/>
    <col min="11" max="11" width="9.140625" style="29" customWidth="1"/>
    <col min="12" max="12" width="10.5703125" style="29" customWidth="1"/>
    <col min="13" max="38" width="9.140625" style="29" customWidth="1"/>
    <col min="39" max="51" width="9.140625" style="30" customWidth="1"/>
    <col min="52" max="64" width="8.7109375" style="31"/>
  </cols>
  <sheetData>
    <row r="1" spans="1:10" ht="93" customHeight="1" x14ac:dyDescent="0.2">
      <c r="A1" s="397"/>
      <c r="B1" s="397" t="str">
        <f>Vertaling!A27</f>
        <v>Vragenlijst financieel plan</v>
      </c>
      <c r="C1" s="213"/>
      <c r="D1" s="213"/>
      <c r="E1" s="400"/>
      <c r="F1" s="213"/>
      <c r="G1" s="400"/>
      <c r="H1" s="214"/>
      <c r="I1" s="47"/>
      <c r="J1" s="28"/>
    </row>
    <row r="3" spans="1:10" x14ac:dyDescent="0.25">
      <c r="B3" s="185" t="str">
        <f>Vertaling!A28</f>
        <v>Om mee te beginnen…</v>
      </c>
      <c r="C3" s="215"/>
      <c r="D3" s="209" t="str">
        <f>Vertaling!A31</f>
        <v>Antwoord:</v>
      </c>
      <c r="E3" s="401"/>
    </row>
    <row r="4" spans="1:10" x14ac:dyDescent="0.25">
      <c r="A4" s="193" t="s">
        <v>27</v>
      </c>
      <c r="B4" s="198" t="str">
        <f>Vertaling!A29</f>
        <v>Welke rechtsvorm heeft je bedrijf?</v>
      </c>
      <c r="C4" s="210" t="str">
        <f>Vertaling!$A$32</f>
        <v>selecteer:</v>
      </c>
      <c r="D4" s="218"/>
      <c r="E4" s="402"/>
    </row>
    <row r="5" spans="1:10" ht="7.5" customHeight="1" x14ac:dyDescent="0.25">
      <c r="A5" s="195"/>
      <c r="B5" s="198"/>
      <c r="C5" s="210"/>
      <c r="D5" s="210"/>
      <c r="E5" s="403"/>
      <c r="I5" s="21"/>
    </row>
    <row r="6" spans="1:10" x14ac:dyDescent="0.25">
      <c r="A6" s="193"/>
      <c r="B6" s="198" t="str">
        <f>IF(OR(D4="Eenmanszaak",D4=""),"",Vertaling!A30)</f>
        <v/>
      </c>
      <c r="C6" s="210" t="str">
        <f>IF(OR(D4="Eenmanszaak",D4=""),"",Vertaling!$A$32)</f>
        <v/>
      </c>
      <c r="D6" s="218"/>
      <c r="E6" s="402"/>
      <c r="F6" s="219" t="str">
        <f>IF(AND(OR(D4=dropdowns!B5,D4=dropdowns!C5),OR(D6=dropdowns!B9,D6=dropdowns!C9)),Vertaling!A33,"")</f>
        <v/>
      </c>
      <c r="G6" s="429"/>
    </row>
    <row r="7" spans="1:10" ht="7.5" customHeight="1" x14ac:dyDescent="0.25">
      <c r="A7" s="195"/>
      <c r="B7" s="198"/>
      <c r="C7" s="210"/>
      <c r="D7" s="210"/>
      <c r="E7" s="403"/>
      <c r="I7" s="21"/>
    </row>
    <row r="8" spans="1:10" x14ac:dyDescent="0.25">
      <c r="A8" s="195"/>
      <c r="B8" s="198"/>
      <c r="C8" s="220" t="str">
        <f>IF(AND(OR(VRAGENLIJST!$D$4=dropdowns!$A$5,VRAGENLIJST!$D$4=dropdowns!$A$6),VRAGENLIJST!D6="Twee"),Vertaling!A38,IF(AND(OR(VRAGENLIJST!$D$4=dropdowns!$A$5,VRAGENLIJST!$D$4=dropdowns!$A$6),VRAGENLIJST!$D$6=dropdowns!$A$11),Vertaling!A39,Vertaling!A40))</f>
        <v>Vul de antwoorden op de privévragen in bij kolom F.</v>
      </c>
      <c r="F8" s="210"/>
      <c r="G8" s="403"/>
      <c r="H8" s="210"/>
      <c r="I8" s="116"/>
    </row>
    <row r="9" spans="1:10" ht="7.5" customHeight="1" x14ac:dyDescent="0.25">
      <c r="A9" s="195"/>
      <c r="B9" s="198"/>
      <c r="C9" s="210"/>
      <c r="D9" s="210"/>
      <c r="E9" s="403"/>
      <c r="I9" s="21"/>
    </row>
    <row r="10" spans="1:10" x14ac:dyDescent="0.25">
      <c r="A10" s="195"/>
      <c r="B10" s="198"/>
      <c r="C10" s="215"/>
      <c r="D10" s="209" t="str">
        <f>IF(AND(OR(VRAGENLIJST!$D$4=dropdowns!$A$5,VRAGENLIJST!$D$4=dropdowns!$A$6),OR(OR(VRAGENLIJST!$D$6=dropdowns!$B$10,$D$6=dropdowns!$C$10),OR(VRAGENLIJST!$D$6=dropdowns!$B$11,VRAGENLIJST!$D$6=dropdowns!$C$11))),Vertaling!A42,"")</f>
        <v/>
      </c>
      <c r="E10" s="401"/>
      <c r="F10" s="215"/>
      <c r="G10" s="430"/>
      <c r="H10" s="209" t="str">
        <f>IF(AND(OR(OR(VRAGENLIJST!$D$4=dropdowns!$B$5,VRAGENLIJST!$D$4=dropdowns!$C$5,VRAGENLIJST!$D$4=dropdowns!$D$5,VRAGENLIJST!$D$4=dropdowns!$E$5),OR(VRAGENLIJST!$D$4=dropdowns!$B$6,VRAGENLIJST!$D$4=dropdowns!$C$6,VRAGENLIJST!$D$4=dropdowns!$D$6,VRAGENLIJST!$D$4=dropdowns!$E$6)),OR(OR(VRAGENLIJST!$D$6=dropdowns!$B$10,VRAGENLIJST!$D$6=dropdowns!$C$10,VRAGENLIJST!$D$6=dropdowns!$D$10,VRAGENLIJST!$D$6=dropdowns!$E$10),OR(VRAGENLIJST!$D$6=dropdowns!$B$11,VRAGENLIJST!$D$6=dropdowns!$C$11,VRAGENLIJST!$D$6=dropdowns!$D$11,VRAGENLIJST!$D$6=dropdowns!$E$11))),Vertaling!A43,Vertaling!A41)</f>
        <v>Ondernemer:</v>
      </c>
      <c r="I10" s="21"/>
    </row>
    <row r="11" spans="1:10" x14ac:dyDescent="0.25">
      <c r="A11" s="193"/>
      <c r="B11" s="198" t="str">
        <f>IF(D4="","",Vertaling!A44)</f>
        <v/>
      </c>
      <c r="C11" s="210" t="str">
        <f>IF($D$14="","",Vertaling!A36)</f>
        <v/>
      </c>
      <c r="D11" s="222"/>
      <c r="E11" s="405"/>
      <c r="F11" s="210" t="str">
        <f>IF(D4="","",Vertaling!A37)</f>
        <v/>
      </c>
      <c r="G11" s="403"/>
      <c r="H11" s="223">
        <f>IF(OR(D6=dropdowns!B9,VRAGENLIJST!D6=dropdowns!C9),1,1-D11)</f>
        <v>1</v>
      </c>
    </row>
    <row r="12" spans="1:10" ht="7.5" customHeight="1" x14ac:dyDescent="0.25">
      <c r="A12" s="195"/>
      <c r="B12" s="198"/>
      <c r="C12" s="210"/>
      <c r="D12" s="210"/>
      <c r="E12" s="403"/>
      <c r="H12" s="224"/>
      <c r="I12" s="21"/>
    </row>
    <row r="13" spans="1:10" x14ac:dyDescent="0.25">
      <c r="A13" s="195"/>
      <c r="B13" s="198"/>
      <c r="C13" s="210"/>
      <c r="D13" s="210"/>
      <c r="E13" s="403"/>
      <c r="F13" s="210"/>
      <c r="G13" s="403"/>
      <c r="H13" s="210"/>
      <c r="I13" s="116"/>
    </row>
    <row r="14" spans="1:10" x14ac:dyDescent="0.25">
      <c r="B14" s="185" t="str">
        <f>Vertaling!A45</f>
        <v>Privé-inkomsten (maandelijks)</v>
      </c>
      <c r="C14" s="215"/>
      <c r="D14" s="209" t="str">
        <f>D10</f>
        <v/>
      </c>
      <c r="E14" s="401"/>
      <c r="F14" s="215"/>
      <c r="G14" s="430"/>
      <c r="H14" s="209" t="str">
        <f>H10</f>
        <v>Ondernemer:</v>
      </c>
    </row>
    <row r="15" spans="1:10" ht="25.5" x14ac:dyDescent="0.25">
      <c r="A15" s="193" t="str">
        <f>CONCATENATE(LEFT(A4,1)+1,".")</f>
        <v>2.</v>
      </c>
      <c r="B15" s="198" t="str">
        <f>Vertaling!A46</f>
        <v>Hoeveel salaris (uit loondienstverband) krijg je maandelijks op je rekening gestort?</v>
      </c>
      <c r="C15" s="210" t="str">
        <f>IF($D$14="","",Vertaling!$A$35)</f>
        <v/>
      </c>
      <c r="D15" s="225"/>
      <c r="E15" s="406"/>
      <c r="F15" s="210" t="str">
        <f>Vertaling!A35</f>
        <v>vul nettobedrag in:</v>
      </c>
      <c r="G15" s="403"/>
      <c r="H15" s="225"/>
    </row>
    <row r="16" spans="1:10" ht="7.5" customHeight="1" x14ac:dyDescent="0.25">
      <c r="A16" s="195"/>
      <c r="B16" s="198"/>
      <c r="C16" s="210"/>
      <c r="D16" s="210"/>
      <c r="E16" s="403"/>
      <c r="F16" s="210"/>
      <c r="G16" s="403"/>
      <c r="H16" s="210"/>
      <c r="I16" s="21"/>
    </row>
    <row r="17" spans="1:9" x14ac:dyDescent="0.25">
      <c r="A17" s="193" t="str">
        <f>CONCATENATE(LEFT(A15,1)+1,".")</f>
        <v>3.</v>
      </c>
      <c r="B17" s="198" t="str">
        <f>IF(OR(VRAGENLIJST!D15&gt;0,VRAGENLIJST!H15&gt;0),Vertaling!A47,"")</f>
        <v/>
      </c>
      <c r="C17" s="210" t="str">
        <f>IF($D$14="","",IF(D15&gt;0,Vertaling!$A$35,""))</f>
        <v/>
      </c>
      <c r="D17" s="225"/>
      <c r="E17" s="406"/>
      <c r="F17" s="210" t="str">
        <f>IF(H15&gt;0,Vertaling!A35,"")</f>
        <v/>
      </c>
      <c r="G17" s="403"/>
      <c r="H17" s="225"/>
    </row>
    <row r="18" spans="1:9" ht="7.5" customHeight="1" x14ac:dyDescent="0.25">
      <c r="A18" s="195"/>
      <c r="B18" s="198"/>
      <c r="C18" s="210"/>
      <c r="D18" s="210"/>
      <c r="E18" s="403"/>
      <c r="F18" s="210"/>
      <c r="G18" s="403"/>
      <c r="H18" s="210"/>
      <c r="I18" s="21"/>
    </row>
    <row r="19" spans="1:9" ht="25.5" x14ac:dyDescent="0.25">
      <c r="A19" s="193" t="str">
        <f>CONCATENATE(LEFT(A17,1)+1,".")</f>
        <v>4.</v>
      </c>
      <c r="B19" s="198" t="str">
        <f>Vertaling!A48</f>
        <v>Als je een (tijdelijke) uitkering of overig inkomen ontvangt, hoe hoog is deze dan per maand?</v>
      </c>
      <c r="C19" s="210" t="str">
        <f>IF($D$14="","",Vertaling!$A$35)</f>
        <v/>
      </c>
      <c r="D19" s="225"/>
      <c r="E19" s="406"/>
      <c r="F19" s="210" t="str">
        <f>Vertaling!A35</f>
        <v>vul nettobedrag in:</v>
      </c>
      <c r="G19" s="403"/>
      <c r="H19" s="225"/>
    </row>
    <row r="20" spans="1:9" ht="7.5" customHeight="1" x14ac:dyDescent="0.25">
      <c r="A20" s="195"/>
      <c r="B20" s="198"/>
      <c r="C20" s="210"/>
      <c r="D20" s="210"/>
      <c r="E20" s="403"/>
      <c r="F20" s="210"/>
      <c r="G20" s="403"/>
      <c r="H20" s="210"/>
      <c r="I20" s="21"/>
    </row>
    <row r="21" spans="1:9" ht="31.5" customHeight="1" x14ac:dyDescent="0.25">
      <c r="A21" s="193" t="str">
        <f>CONCATENATE(LEFT(A19,1)+1,".")</f>
        <v>5.</v>
      </c>
      <c r="B21" s="198" t="str">
        <f>IF(OR(VRAGENLIJST!D19&gt;0,VRAGENLIJST!H19&gt;0),Vertaling!A49,"")</f>
        <v/>
      </c>
      <c r="C21" s="210" t="str">
        <f>IF($D$14="","",IF(D19&gt;0,Vertaling!$A$32,""))</f>
        <v/>
      </c>
      <c r="D21" s="226"/>
      <c r="E21" s="407"/>
      <c r="F21" s="210" t="str">
        <f>IF(H19&gt;0,Vertaling!A32,"")</f>
        <v/>
      </c>
      <c r="G21" s="403"/>
      <c r="H21" s="226"/>
      <c r="I21" s="48"/>
    </row>
    <row r="22" spans="1:9" ht="7.5" customHeight="1" x14ac:dyDescent="0.25">
      <c r="A22" s="195"/>
      <c r="B22" s="198"/>
      <c r="C22" s="210"/>
      <c r="D22" s="227"/>
      <c r="E22" s="227"/>
      <c r="F22" s="210"/>
      <c r="G22" s="403"/>
      <c r="H22" s="227"/>
      <c r="I22" s="21"/>
    </row>
    <row r="23" spans="1:9" ht="30.95" customHeight="1" x14ac:dyDescent="0.25">
      <c r="A23" s="193" t="str">
        <f>CONCATENATE(LEFT(A21,1)+1,".")</f>
        <v>6.</v>
      </c>
      <c r="B23" s="198" t="str">
        <f>Vertaling!A50</f>
        <v>Hoe hoog zijn de toeslagen (zoals kind-, zorg- en huurtoeslag) per maand?</v>
      </c>
      <c r="C23" s="210" t="str">
        <f>IF($D$14="","",Vertaling!$A$35)</f>
        <v/>
      </c>
      <c r="D23" s="225"/>
      <c r="E23" s="406"/>
      <c r="F23" s="210" t="str">
        <f>Vertaling!A35</f>
        <v>vul nettobedrag in:</v>
      </c>
      <c r="G23" s="403"/>
      <c r="H23" s="225"/>
    </row>
    <row r="24" spans="1:9" ht="7.5" customHeight="1" x14ac:dyDescent="0.25">
      <c r="B24" s="186"/>
      <c r="C24" s="216"/>
      <c r="D24" s="228"/>
      <c r="E24" s="408"/>
      <c r="H24" s="228"/>
    </row>
    <row r="25" spans="1:9" x14ac:dyDescent="0.25">
      <c r="A25" s="193" t="str">
        <f>CONCATENATE(LEFT(A23,1)+1,".")</f>
        <v>7.</v>
      </c>
      <c r="B25" s="198" t="str">
        <f>Vertaling!A51</f>
        <v>Heb je een levenspartner met inkomen (uit loondienstverband of uitkering)?</v>
      </c>
      <c r="C25" s="210" t="str">
        <f>IF($D$14="","",Vertaling!A32)</f>
        <v/>
      </c>
      <c r="D25" s="218"/>
      <c r="E25" s="402"/>
      <c r="F25" s="210" t="str">
        <f>Vertaling!A32</f>
        <v>selecteer:</v>
      </c>
      <c r="G25" s="403"/>
      <c r="H25" s="218"/>
      <c r="I25" s="48"/>
    </row>
    <row r="26" spans="1:9" ht="7.5" customHeight="1" x14ac:dyDescent="0.25">
      <c r="A26" s="195"/>
      <c r="B26" s="198"/>
      <c r="C26" s="210"/>
      <c r="D26" s="210"/>
      <c r="E26" s="403"/>
      <c r="F26" s="210"/>
      <c r="G26" s="403"/>
      <c r="H26" s="210"/>
      <c r="I26" s="21"/>
    </row>
    <row r="27" spans="1:9" ht="31.5" customHeight="1" x14ac:dyDescent="0.25">
      <c r="A27" s="193" t="str">
        <f>CONCATENATE(LEFT(A25,1)+1,".")</f>
        <v>8.</v>
      </c>
      <c r="B27" s="198" t="str">
        <f>IF(OR(VRAGENLIJST!D25=dropdowns!$B$24,VRAGENLIJST!H25=dropdowns!$B$24,VRAGENLIJST!D25=dropdowns!$C$24,VRAGENLIJST!H25=dropdowns!$C$24),Vertaling!A52,"")</f>
        <v/>
      </c>
      <c r="C27" s="210" t="str">
        <f>IF($D$14="","",IF(OR(VRAGENLIJST!$D$25=dropdowns!$B$24,VRAGENLIJST!$D$25=dropdowns!$C$24),Vertaling!A35,""))</f>
        <v/>
      </c>
      <c r="D27" s="225"/>
      <c r="E27" s="406"/>
      <c r="F27" s="229" t="str">
        <f>IF(OR(VRAGENLIJST!H25=dropdowns!$B$24,VRAGENLIJST!H25=dropdowns!$C$24),Vertaling!A35,"")</f>
        <v/>
      </c>
      <c r="G27" s="426"/>
      <c r="H27" s="225"/>
      <c r="I27" s="49"/>
    </row>
    <row r="28" spans="1:9" ht="7.5" customHeight="1" x14ac:dyDescent="0.25">
      <c r="A28" s="195"/>
      <c r="B28" s="198"/>
      <c r="C28" s="210"/>
      <c r="D28" s="210"/>
      <c r="E28" s="403"/>
      <c r="F28" s="210"/>
      <c r="G28" s="403"/>
      <c r="H28" s="210"/>
      <c r="I28" s="21"/>
    </row>
    <row r="29" spans="1:9" ht="31.5" customHeight="1" x14ac:dyDescent="0.25">
      <c r="A29" s="193" t="str">
        <f>CONCATENATE(LEFT(A27,1)+1,".")</f>
        <v>9.</v>
      </c>
      <c r="B29" s="198" t="str">
        <f>IF(OR(VRAGENLIJST!D25=dropdowns!$B$24,VRAGENLIJST!H25=dropdowns!$B$24,VRAGENLIJST!D25=dropdowns!$C$24,VRAGENLIJST!H25=dropdowns!$C$24),Vertaling!A53,"")</f>
        <v/>
      </c>
      <c r="C29" s="210" t="str">
        <f>IF($D$14="","",IF(OR(VRAGENLIJST!$D$25=dropdowns!$B$24,VRAGENLIJST!$D$25=dropdowns!$C$24),Vertaling!A35,""))</f>
        <v/>
      </c>
      <c r="D29" s="225"/>
      <c r="E29" s="406"/>
      <c r="F29" s="229" t="str">
        <f>IF(OR(VRAGENLIJST!H25=dropdowns!$B$24,VRAGENLIJST!H25=dropdowns!$C$24),Vertaling!A35,"")</f>
        <v/>
      </c>
      <c r="G29" s="426"/>
      <c r="H29" s="225"/>
    </row>
    <row r="30" spans="1:9" x14ac:dyDescent="0.25">
      <c r="B30" s="199"/>
      <c r="C30" s="230"/>
      <c r="D30" s="231"/>
      <c r="E30" s="409"/>
      <c r="F30" s="230"/>
      <c r="H30" s="231"/>
    </row>
    <row r="31" spans="1:9" x14ac:dyDescent="0.25">
      <c r="B31" s="194"/>
      <c r="C31" s="216"/>
      <c r="D31" s="209" t="str">
        <f>$D$14</f>
        <v/>
      </c>
      <c r="E31" s="401"/>
      <c r="H31" s="209" t="str">
        <f>$H$14</f>
        <v>Ondernemer:</v>
      </c>
    </row>
    <row r="32" spans="1:9" ht="31.5" customHeight="1" x14ac:dyDescent="0.25">
      <c r="A32" s="193"/>
      <c r="B32" s="200" t="str">
        <f>Vertaling!A54</f>
        <v>Totaal gezamenlijk maandinkomen op dit moment:</v>
      </c>
      <c r="C32" s="210" t="str">
        <f>IF($D$14="","",Vertaling!A37)</f>
        <v/>
      </c>
      <c r="D32" s="232">
        <f>D15+D19+D23+IF(OR(D25=dropdowns!B24,D25=dropdowns!C24,D25=dropdowns!D24,D25=dropdowns!E24),VRAGENLIJST!D27,0)</f>
        <v>0</v>
      </c>
      <c r="E32" s="410"/>
      <c r="F32" s="210" t="str">
        <f>Vertaling!A37</f>
        <v>is berekend:</v>
      </c>
      <c r="G32" s="403"/>
      <c r="H32" s="232">
        <f>H15+H19+H23+IF(OR(H25=dropdowns!B24,H25=dropdowns!C24,H25=dropdowns!D24,H25=dropdowns!E24),H27,0)</f>
        <v>0</v>
      </c>
    </row>
    <row r="33" spans="1:67" ht="7.5" customHeight="1" x14ac:dyDescent="0.25">
      <c r="A33" s="195"/>
      <c r="B33" s="194"/>
      <c r="C33" s="210"/>
      <c r="D33" s="210"/>
      <c r="E33" s="403"/>
      <c r="F33" s="210"/>
      <c r="G33" s="403"/>
      <c r="H33" s="210"/>
      <c r="I33" s="21"/>
    </row>
    <row r="34" spans="1:67" x14ac:dyDescent="0.25">
      <c r="A34" s="187"/>
      <c r="B34" s="194" t="str">
        <f>Vertaling!A55</f>
        <v>Totaal gezamenlijk maandinkomen wanneer je bedrijf is opgestart:</v>
      </c>
      <c r="C34" s="210" t="str">
        <f>IF($D$14="","",Vertaling!A37)</f>
        <v/>
      </c>
      <c r="D34" s="232">
        <f>D17+IF(OR(D21=dropdowns!$B$15,D21=dropdowns!$C$15),0,D19)+D23+IF(OR(D25=dropdowns!B24,D25=dropdowns!C24,D25=dropdowns!D24,D25=dropdowns!E24),VRAGENLIJST!D29,0)</f>
        <v>0</v>
      </c>
      <c r="E34" s="410"/>
      <c r="F34" s="210" t="str">
        <f>Vertaling!A37</f>
        <v>is berekend:</v>
      </c>
      <c r="G34" s="403"/>
      <c r="H34" s="232">
        <f>H17+IF(OR(H21=dropdowns!$B$15,H21=dropdowns!$C$15),0,H19)+H23+IF(OR(H25=dropdowns!B24,H25=dropdowns!C24,H25=dropdowns!D24,H25=dropdowns!E24),H29,0)</f>
        <v>0</v>
      </c>
    </row>
    <row r="35" spans="1:67" x14ac:dyDescent="0.25">
      <c r="B35" s="188"/>
      <c r="C35" s="230"/>
      <c r="D35" s="233"/>
      <c r="E35" s="411"/>
      <c r="F35" s="230"/>
      <c r="H35" s="233"/>
    </row>
    <row r="36" spans="1:67" x14ac:dyDescent="0.25">
      <c r="B36" s="189"/>
      <c r="C36" s="216"/>
      <c r="D36" s="217"/>
      <c r="E36" s="412"/>
    </row>
    <row r="37" spans="1:67" x14ac:dyDescent="0.25">
      <c r="B37" s="185" t="str">
        <f>Vertaling!A56</f>
        <v>Privé-uitgaven (maandelijks)</v>
      </c>
      <c r="C37" s="215"/>
      <c r="D37" s="209"/>
      <c r="E37" s="401"/>
      <c r="F37" s="215"/>
      <c r="G37" s="430"/>
      <c r="H37" s="209"/>
    </row>
    <row r="38" spans="1:67" x14ac:dyDescent="0.25">
      <c r="A38" s="193" t="str">
        <f>CONCATENATE(LEFT(A29,1)+1,".")</f>
        <v>10.</v>
      </c>
      <c r="B38" s="194" t="str">
        <f>Vertaling!A57</f>
        <v>Hoeveel geef je maandelijks privé uit?</v>
      </c>
      <c r="C38" s="216"/>
      <c r="D38" s="209" t="str">
        <f>$D$14</f>
        <v/>
      </c>
      <c r="E38" s="401"/>
      <c r="H38" s="209" t="str">
        <f>$H$14</f>
        <v>Ondernemer:</v>
      </c>
    </row>
    <row r="39" spans="1:67" s="24" customFormat="1" x14ac:dyDescent="0.25">
      <c r="A39" s="187" t="s">
        <v>30</v>
      </c>
      <c r="B39" s="194" t="str">
        <f>Vertaling!A58</f>
        <v>Huur woonhuis</v>
      </c>
      <c r="C39" s="210" t="str">
        <f>IF($D$14="","",Vertaling!$A$34)</f>
        <v/>
      </c>
      <c r="D39" s="234"/>
      <c r="E39" s="413"/>
      <c r="F39" s="210" t="str">
        <f>Vertaling!$A$34</f>
        <v>vul bedrag in:</v>
      </c>
      <c r="G39" s="403"/>
      <c r="H39" s="225"/>
      <c r="I39" s="2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c r="BL39" s="34"/>
      <c r="BM39" s="23"/>
      <c r="BN39" s="23"/>
      <c r="BO39" s="23"/>
    </row>
    <row r="40" spans="1:67" ht="7.5" customHeight="1" x14ac:dyDescent="0.25">
      <c r="A40" s="195"/>
      <c r="B40" s="194"/>
      <c r="C40" s="210"/>
      <c r="D40" s="235"/>
      <c r="E40" s="414"/>
      <c r="F40" s="210"/>
      <c r="G40" s="403"/>
      <c r="H40" s="235"/>
      <c r="I40" s="21"/>
    </row>
    <row r="41" spans="1:67" s="24" customFormat="1" x14ac:dyDescent="0.25">
      <c r="A41" s="187" t="s">
        <v>30</v>
      </c>
      <c r="B41" s="194" t="str">
        <f>Vertaling!A59</f>
        <v>Aflossing en rente hypotheek (netto)</v>
      </c>
      <c r="C41" s="210" t="str">
        <f>IF($D$14="","",Vertaling!$A$34)</f>
        <v/>
      </c>
      <c r="D41" s="234"/>
      <c r="E41" s="413"/>
      <c r="F41" s="210" t="str">
        <f>Vertaling!$A$34</f>
        <v>vul bedrag in:</v>
      </c>
      <c r="G41" s="403"/>
      <c r="H41" s="225"/>
      <c r="I41" s="23"/>
      <c r="J41" s="33"/>
      <c r="K41" s="33"/>
      <c r="L41" s="33"/>
      <c r="M41" s="33"/>
      <c r="N41" s="33"/>
      <c r="O41" s="33"/>
      <c r="P41" s="33"/>
      <c r="Q41" s="33"/>
      <c r="R41" s="33"/>
      <c r="S41" s="33"/>
      <c r="T41" s="33"/>
      <c r="U41" s="33"/>
      <c r="V41" s="33"/>
      <c r="W41" s="33"/>
      <c r="X41" s="33"/>
      <c r="Y41" s="33"/>
      <c r="Z41" s="33"/>
      <c r="AA41" s="33"/>
      <c r="AB41" s="33"/>
      <c r="AC41" s="33"/>
      <c r="AD41" s="33"/>
      <c r="AE41" s="33"/>
      <c r="AF41" s="33"/>
      <c r="AG41" s="33"/>
      <c r="AH41" s="33"/>
      <c r="AI41" s="33"/>
      <c r="AJ41" s="33"/>
      <c r="AK41" s="33"/>
      <c r="AL41" s="33"/>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23"/>
      <c r="BN41" s="23"/>
      <c r="BO41" s="23"/>
    </row>
    <row r="42" spans="1:67" ht="7.5" customHeight="1" x14ac:dyDescent="0.25">
      <c r="A42" s="195"/>
      <c r="B42" s="194"/>
      <c r="C42" s="210"/>
      <c r="D42" s="235"/>
      <c r="E42" s="414"/>
      <c r="F42" s="210"/>
      <c r="G42" s="403"/>
      <c r="H42" s="235"/>
      <c r="I42" s="21"/>
    </row>
    <row r="43" spans="1:67" s="24" customFormat="1" x14ac:dyDescent="0.25">
      <c r="A43" s="193" t="s">
        <v>30</v>
      </c>
      <c r="B43" s="194" t="str">
        <f>Vertaling!A60</f>
        <v>Gas, water en elektriciteit</v>
      </c>
      <c r="C43" s="210" t="str">
        <f>IF($D$14="","",Vertaling!$A$34)</f>
        <v/>
      </c>
      <c r="D43" s="234"/>
      <c r="E43" s="413"/>
      <c r="F43" s="210" t="str">
        <f>Vertaling!$A$34</f>
        <v>vul bedrag in:</v>
      </c>
      <c r="G43" s="403"/>
      <c r="H43" s="225"/>
      <c r="I43" s="23"/>
      <c r="J43" s="33"/>
      <c r="K43" s="33"/>
      <c r="L43" s="33"/>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4"/>
      <c r="AN43" s="34"/>
      <c r="AO43" s="34"/>
      <c r="AP43" s="34"/>
      <c r="AQ43" s="34"/>
      <c r="AR43" s="34"/>
      <c r="AS43" s="34"/>
      <c r="AT43" s="34"/>
      <c r="AU43" s="34"/>
      <c r="AV43" s="34"/>
      <c r="AW43" s="34"/>
      <c r="AX43" s="34"/>
      <c r="AY43" s="34"/>
      <c r="AZ43" s="34"/>
      <c r="BA43" s="34"/>
      <c r="BB43" s="34"/>
      <c r="BC43" s="34"/>
      <c r="BD43" s="34"/>
      <c r="BE43" s="34"/>
      <c r="BF43" s="34"/>
      <c r="BG43" s="34"/>
      <c r="BH43" s="34"/>
      <c r="BI43" s="34"/>
      <c r="BJ43" s="34"/>
      <c r="BK43" s="34"/>
      <c r="BL43" s="34"/>
      <c r="BM43" s="23"/>
      <c r="BN43" s="23"/>
      <c r="BO43" s="23"/>
    </row>
    <row r="44" spans="1:67" ht="7.5" customHeight="1" x14ac:dyDescent="0.25">
      <c r="A44" s="195"/>
      <c r="B44" s="194"/>
      <c r="C44" s="210"/>
      <c r="D44" s="235"/>
      <c r="E44" s="414"/>
      <c r="F44" s="210"/>
      <c r="G44" s="403"/>
      <c r="H44" s="235"/>
      <c r="I44" s="21"/>
    </row>
    <row r="45" spans="1:67" s="24" customFormat="1" x14ac:dyDescent="0.25">
      <c r="A45" s="193" t="s">
        <v>30</v>
      </c>
      <c r="B45" s="194" t="str">
        <f>Vertaling!A61</f>
        <v>Duurzame consumptiegoederen</v>
      </c>
      <c r="C45" s="210" t="str">
        <f>IF($D$14="","",Vertaling!$A$34)</f>
        <v/>
      </c>
      <c r="D45" s="234"/>
      <c r="E45" s="413"/>
      <c r="F45" s="210" t="str">
        <f>Vertaling!$A$34</f>
        <v>vul bedrag in:</v>
      </c>
      <c r="G45" s="403"/>
      <c r="H45" s="225"/>
      <c r="I45" s="23"/>
      <c r="J45" s="33"/>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34"/>
      <c r="AN45" s="34"/>
      <c r="AO45" s="34"/>
      <c r="AP45" s="34"/>
      <c r="AQ45" s="34"/>
      <c r="AR45" s="34"/>
      <c r="AS45" s="34"/>
      <c r="AT45" s="34"/>
      <c r="AU45" s="34"/>
      <c r="AV45" s="34"/>
      <c r="AW45" s="34"/>
      <c r="AX45" s="34"/>
      <c r="AY45" s="34"/>
      <c r="AZ45" s="34"/>
      <c r="BA45" s="34"/>
      <c r="BB45" s="34"/>
      <c r="BC45" s="34"/>
      <c r="BD45" s="34"/>
      <c r="BE45" s="34"/>
      <c r="BF45" s="34"/>
      <c r="BG45" s="34"/>
      <c r="BH45" s="34"/>
      <c r="BI45" s="34"/>
      <c r="BJ45" s="34"/>
      <c r="BK45" s="34"/>
      <c r="BL45" s="34"/>
      <c r="BM45" s="23"/>
      <c r="BN45" s="23"/>
      <c r="BO45" s="23"/>
    </row>
    <row r="46" spans="1:67" ht="7.5" customHeight="1" x14ac:dyDescent="0.25">
      <c r="A46" s="195"/>
      <c r="B46" s="194"/>
      <c r="C46" s="210"/>
      <c r="D46" s="235"/>
      <c r="E46" s="414"/>
      <c r="F46" s="210"/>
      <c r="G46" s="403"/>
      <c r="H46" s="235"/>
      <c r="I46" s="21"/>
    </row>
    <row r="47" spans="1:67" s="24" customFormat="1" x14ac:dyDescent="0.25">
      <c r="A47" s="193" t="s">
        <v>30</v>
      </c>
      <c r="B47" s="194" t="str">
        <f>Vertaling!A62</f>
        <v>Ziektekostenverzekering</v>
      </c>
      <c r="C47" s="210" t="str">
        <f>IF($D$14="","",Vertaling!$A$34)</f>
        <v/>
      </c>
      <c r="D47" s="234"/>
      <c r="E47" s="413"/>
      <c r="F47" s="210" t="str">
        <f>Vertaling!$A$34</f>
        <v>vul bedrag in:</v>
      </c>
      <c r="G47" s="403"/>
      <c r="H47" s="225"/>
      <c r="I47" s="23"/>
      <c r="J47" s="33"/>
      <c r="K47" s="33"/>
      <c r="L47" s="33"/>
      <c r="M47" s="33"/>
      <c r="N47" s="33"/>
      <c r="O47" s="33"/>
      <c r="P47" s="33"/>
      <c r="Q47" s="33"/>
      <c r="R47" s="33"/>
      <c r="S47" s="33"/>
      <c r="T47" s="33"/>
      <c r="U47" s="33"/>
      <c r="V47" s="33"/>
      <c r="W47" s="33"/>
      <c r="X47" s="33"/>
      <c r="Y47" s="33"/>
      <c r="Z47" s="33"/>
      <c r="AA47" s="33"/>
      <c r="AB47" s="33"/>
      <c r="AC47" s="33"/>
      <c r="AD47" s="33"/>
      <c r="AE47" s="33"/>
      <c r="AF47" s="33"/>
      <c r="AG47" s="33"/>
      <c r="AH47" s="33"/>
      <c r="AI47" s="33"/>
      <c r="AJ47" s="33"/>
      <c r="AK47" s="33"/>
      <c r="AL47" s="33"/>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23"/>
      <c r="BN47" s="23"/>
      <c r="BO47" s="23"/>
    </row>
    <row r="48" spans="1:67" ht="7.5" customHeight="1" x14ac:dyDescent="0.25">
      <c r="A48" s="195"/>
      <c r="B48" s="194"/>
      <c r="C48" s="210"/>
      <c r="D48" s="235"/>
      <c r="E48" s="414"/>
      <c r="F48" s="210"/>
      <c r="G48" s="403"/>
      <c r="H48" s="235"/>
      <c r="I48" s="21"/>
    </row>
    <row r="49" spans="1:67" s="24" customFormat="1" x14ac:dyDescent="0.25">
      <c r="A49" s="193" t="s">
        <v>30</v>
      </c>
      <c r="B49" s="194" t="str">
        <f>Vertaling!A63</f>
        <v>Overige verzekeringen (inboedel, WA, e.d.)</v>
      </c>
      <c r="C49" s="210" t="str">
        <f>IF($D$14="","",Vertaling!$A$34)</f>
        <v/>
      </c>
      <c r="D49" s="234"/>
      <c r="E49" s="413"/>
      <c r="F49" s="210" t="str">
        <f>Vertaling!$A$34</f>
        <v>vul bedrag in:</v>
      </c>
      <c r="G49" s="403"/>
      <c r="H49" s="225"/>
      <c r="I49" s="2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c r="BL49" s="34"/>
      <c r="BM49" s="23"/>
      <c r="BN49" s="23"/>
      <c r="BO49" s="23"/>
    </row>
    <row r="50" spans="1:67" ht="7.5" customHeight="1" x14ac:dyDescent="0.25">
      <c r="A50" s="195"/>
      <c r="B50" s="194"/>
      <c r="C50" s="210"/>
      <c r="D50" s="235"/>
      <c r="E50" s="414"/>
      <c r="F50" s="210"/>
      <c r="G50" s="403"/>
      <c r="H50" s="235"/>
      <c r="I50" s="21"/>
    </row>
    <row r="51" spans="1:67" s="24" customFormat="1" x14ac:dyDescent="0.25">
      <c r="A51" s="193" t="s">
        <v>30</v>
      </c>
      <c r="B51" s="194" t="str">
        <f>Vertaling!A64</f>
        <v>Vervoer (brandstof, onderhoud, abonnement)</v>
      </c>
      <c r="C51" s="210" t="str">
        <f>IF($D$14="","",Vertaling!$A$34)</f>
        <v/>
      </c>
      <c r="D51" s="234"/>
      <c r="E51" s="413"/>
      <c r="F51" s="210" t="str">
        <f>Vertaling!$A$34</f>
        <v>vul bedrag in:</v>
      </c>
      <c r="G51" s="403"/>
      <c r="H51" s="225"/>
      <c r="I51" s="2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c r="BL51" s="34"/>
      <c r="BM51" s="23"/>
      <c r="BN51" s="23"/>
      <c r="BO51" s="23"/>
    </row>
    <row r="52" spans="1:67" ht="7.5" customHeight="1" x14ac:dyDescent="0.25">
      <c r="A52" s="195"/>
      <c r="B52" s="194"/>
      <c r="C52" s="210"/>
      <c r="D52" s="235"/>
      <c r="E52" s="414"/>
      <c r="F52" s="210"/>
      <c r="G52" s="403"/>
      <c r="H52" s="235"/>
      <c r="I52" s="21"/>
    </row>
    <row r="53" spans="1:67" s="24" customFormat="1" x14ac:dyDescent="0.25">
      <c r="A53" s="193" t="s">
        <v>30</v>
      </c>
      <c r="B53" s="194" t="str">
        <f>Vertaling!A65</f>
        <v>Huishoudelijke uitgaven (voeding, kleding, sport)</v>
      </c>
      <c r="C53" s="210" t="str">
        <f>IF($D$14="","",Vertaling!$A$34)</f>
        <v/>
      </c>
      <c r="D53" s="234"/>
      <c r="E53" s="413"/>
      <c r="F53" s="210" t="str">
        <f>Vertaling!$A$34</f>
        <v>vul bedrag in:</v>
      </c>
      <c r="G53" s="403"/>
      <c r="H53" s="225"/>
      <c r="I53" s="23"/>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23"/>
      <c r="BN53" s="23"/>
      <c r="BO53" s="23"/>
    </row>
    <row r="54" spans="1:67" ht="7.5" customHeight="1" x14ac:dyDescent="0.25">
      <c r="A54" s="195"/>
      <c r="B54" s="194"/>
      <c r="C54" s="210"/>
      <c r="D54" s="235"/>
      <c r="E54" s="414"/>
      <c r="F54" s="210"/>
      <c r="G54" s="403"/>
      <c r="H54" s="235"/>
      <c r="I54" s="21"/>
    </row>
    <row r="55" spans="1:67" s="24" customFormat="1" x14ac:dyDescent="0.25">
      <c r="A55" s="193" t="s">
        <v>30</v>
      </c>
      <c r="B55" s="194" t="str">
        <f>Vertaling!A66</f>
        <v>Vakantie en recreatie</v>
      </c>
      <c r="C55" s="210" t="str">
        <f>IF($D$14="","",Vertaling!$A$34)</f>
        <v/>
      </c>
      <c r="D55" s="234"/>
      <c r="E55" s="413"/>
      <c r="F55" s="210" t="str">
        <f>Vertaling!$A$34</f>
        <v>vul bedrag in:</v>
      </c>
      <c r="G55" s="403"/>
      <c r="H55" s="225"/>
      <c r="I55" s="2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23"/>
      <c r="BN55" s="23"/>
      <c r="BO55" s="23"/>
    </row>
    <row r="56" spans="1:67" ht="7.5" customHeight="1" x14ac:dyDescent="0.25">
      <c r="A56" s="195"/>
      <c r="B56" s="194"/>
      <c r="C56" s="210"/>
      <c r="D56" s="235"/>
      <c r="E56" s="414"/>
      <c r="F56" s="210"/>
      <c r="G56" s="403"/>
      <c r="H56" s="235"/>
      <c r="I56" s="21"/>
    </row>
    <row r="57" spans="1:67" s="24" customFormat="1" x14ac:dyDescent="0.25">
      <c r="A57" s="193" t="s">
        <v>30</v>
      </c>
      <c r="B57" s="194" t="str">
        <f>Vertaling!A67</f>
        <v>Opleiding, studiekosten en opvang kinderen</v>
      </c>
      <c r="C57" s="210" t="str">
        <f>IF($D$14="","",Vertaling!$A$34)</f>
        <v/>
      </c>
      <c r="D57" s="234"/>
      <c r="E57" s="413"/>
      <c r="F57" s="210" t="str">
        <f>Vertaling!$A$34</f>
        <v>vul bedrag in:</v>
      </c>
      <c r="G57" s="403"/>
      <c r="H57" s="225"/>
      <c r="I57" s="2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23"/>
      <c r="BN57" s="23"/>
      <c r="BO57" s="23"/>
    </row>
    <row r="58" spans="1:67" ht="7.5" customHeight="1" x14ac:dyDescent="0.25">
      <c r="A58" s="195"/>
      <c r="B58" s="194"/>
      <c r="C58" s="210"/>
      <c r="D58" s="235"/>
      <c r="E58" s="414"/>
      <c r="F58" s="210"/>
      <c r="G58" s="403"/>
      <c r="H58" s="235"/>
      <c r="I58" s="21"/>
    </row>
    <row r="59" spans="1:67" s="24" customFormat="1" x14ac:dyDescent="0.25">
      <c r="A59" s="193" t="s">
        <v>30</v>
      </c>
      <c r="B59" s="194" t="str">
        <f>Vertaling!A68</f>
        <v>Aflossing en rente privélening (geen hypotheek)</v>
      </c>
      <c r="C59" s="210" t="str">
        <f>IF($D$14="","",Vertaling!$A$34)</f>
        <v/>
      </c>
      <c r="D59" s="234"/>
      <c r="E59" s="413"/>
      <c r="F59" s="210" t="str">
        <f>Vertaling!$A$34</f>
        <v>vul bedrag in:</v>
      </c>
      <c r="G59" s="403"/>
      <c r="H59" s="225"/>
      <c r="I59" s="2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c r="BL59" s="34"/>
      <c r="BM59" s="23"/>
      <c r="BN59" s="23"/>
      <c r="BO59" s="23"/>
    </row>
    <row r="60" spans="1:67" ht="7.5" customHeight="1" x14ac:dyDescent="0.25">
      <c r="A60" s="195"/>
      <c r="B60" s="194"/>
      <c r="C60" s="210"/>
      <c r="D60" s="235"/>
      <c r="E60" s="414"/>
      <c r="F60" s="210"/>
      <c r="G60" s="403"/>
      <c r="H60" s="235"/>
      <c r="I60" s="21"/>
    </row>
    <row r="61" spans="1:67" s="24" customFormat="1" x14ac:dyDescent="0.25">
      <c r="A61" s="193" t="s">
        <v>30</v>
      </c>
      <c r="B61" s="194" t="str">
        <f>Vertaling!A69</f>
        <v>Overige privé-uitgaven</v>
      </c>
      <c r="C61" s="210" t="str">
        <f>IF($D$14="","",Vertaling!$A$34)</f>
        <v/>
      </c>
      <c r="D61" s="234"/>
      <c r="E61" s="413"/>
      <c r="F61" s="210" t="str">
        <f>Vertaling!$A$34</f>
        <v>vul bedrag in:</v>
      </c>
      <c r="G61" s="403"/>
      <c r="H61" s="225"/>
      <c r="I61" s="2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c r="BM61" s="23"/>
      <c r="BN61" s="23"/>
      <c r="BO61" s="23"/>
    </row>
    <row r="62" spans="1:67" s="24" customFormat="1" x14ac:dyDescent="0.25">
      <c r="A62" s="117"/>
      <c r="B62" s="188"/>
      <c r="C62" s="230"/>
      <c r="D62" s="236"/>
      <c r="E62" s="415"/>
      <c r="F62" s="230"/>
      <c r="G62" s="428"/>
      <c r="H62" s="236"/>
      <c r="I62" s="23"/>
      <c r="J62" s="33"/>
      <c r="K62" s="33"/>
      <c r="L62" s="33"/>
      <c r="M62" s="33"/>
      <c r="N62" s="33"/>
      <c r="O62" s="33"/>
      <c r="P62" s="33"/>
      <c r="Q62" s="33"/>
      <c r="R62" s="33"/>
      <c r="S62" s="33"/>
      <c r="T62" s="33"/>
      <c r="U62" s="33"/>
      <c r="V62" s="33"/>
      <c r="W62" s="33"/>
      <c r="X62" s="33"/>
      <c r="Y62" s="33"/>
      <c r="Z62" s="33"/>
      <c r="AA62" s="33"/>
      <c r="AB62" s="33"/>
      <c r="AC62" s="33"/>
      <c r="AD62" s="33"/>
      <c r="AE62" s="33"/>
      <c r="AF62" s="33"/>
      <c r="AG62" s="33"/>
      <c r="AH62" s="33"/>
      <c r="AI62" s="33"/>
      <c r="AJ62" s="33"/>
      <c r="AK62" s="33"/>
      <c r="AL62" s="33"/>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c r="BL62" s="34"/>
      <c r="BM62" s="23"/>
      <c r="BN62" s="23"/>
      <c r="BO62" s="23"/>
    </row>
    <row r="63" spans="1:67" s="24" customFormat="1" x14ac:dyDescent="0.25">
      <c r="A63" s="117"/>
      <c r="B63" s="20"/>
      <c r="C63" s="216"/>
      <c r="D63" s="209" t="str">
        <f>$D$14</f>
        <v/>
      </c>
      <c r="E63" s="401"/>
      <c r="F63" s="216"/>
      <c r="G63" s="428"/>
      <c r="H63" s="209" t="str">
        <f>$H$14</f>
        <v>Ondernemer:</v>
      </c>
      <c r="I63" s="23"/>
      <c r="J63" s="33"/>
      <c r="K63" s="33"/>
      <c r="L63" s="33"/>
      <c r="M63" s="33"/>
      <c r="N63" s="33"/>
      <c r="O63" s="33"/>
      <c r="P63" s="33"/>
      <c r="Q63" s="33"/>
      <c r="R63" s="33"/>
      <c r="S63" s="33"/>
      <c r="T63" s="33"/>
      <c r="U63" s="33"/>
      <c r="V63" s="33"/>
      <c r="W63" s="33"/>
      <c r="X63" s="33"/>
      <c r="Y63" s="33"/>
      <c r="Z63" s="33"/>
      <c r="AA63" s="33"/>
      <c r="AB63" s="33"/>
      <c r="AC63" s="33"/>
      <c r="AD63" s="33"/>
      <c r="AE63" s="33"/>
      <c r="AF63" s="33"/>
      <c r="AG63" s="33"/>
      <c r="AH63" s="33"/>
      <c r="AI63" s="33"/>
      <c r="AJ63" s="33"/>
      <c r="AK63" s="33"/>
      <c r="AL63" s="33"/>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c r="BL63" s="34"/>
      <c r="BM63" s="23"/>
      <c r="BN63" s="23"/>
      <c r="BO63" s="23"/>
    </row>
    <row r="64" spans="1:67" ht="26.25" x14ac:dyDescent="0.25">
      <c r="A64" s="193"/>
      <c r="B64" s="194" t="str">
        <f>Vertaling!A70</f>
        <v>Dit bedrag kan je maandelijks nog sparen voordat je met je bedrijf gaat starten:</v>
      </c>
      <c r="C64" s="210" t="str">
        <f>IF($D$14="","",Vertaling!A37)</f>
        <v/>
      </c>
      <c r="D64" s="232">
        <f>D32-SUM($D$39:$D$61)</f>
        <v>0</v>
      </c>
      <c r="E64" s="410"/>
      <c r="F64" s="210" t="str">
        <f>Vertaling!A37</f>
        <v>is berekend:</v>
      </c>
      <c r="G64" s="403"/>
      <c r="H64" s="232">
        <f>H32-SUM($H$39:$H$61)</f>
        <v>0</v>
      </c>
    </row>
    <row r="65" spans="1:9" ht="7.5" customHeight="1" x14ac:dyDescent="0.25">
      <c r="A65" s="195"/>
      <c r="B65" s="194"/>
      <c r="C65" s="210"/>
      <c r="D65" s="237"/>
      <c r="E65" s="416"/>
      <c r="F65" s="210"/>
      <c r="G65" s="403"/>
      <c r="H65" s="237"/>
      <c r="I65" s="21"/>
    </row>
    <row r="66" spans="1:9" ht="26.25" x14ac:dyDescent="0.25">
      <c r="A66" s="193"/>
      <c r="B66" s="194" t="str">
        <f>Vertaling!A71</f>
        <v>Dit bedrag moet je maandelijks uit je onderneming halen voor privédoeleinden als je bent gestart:</v>
      </c>
      <c r="C66" s="210" t="str">
        <f>IF($D$14="","",Vertaling!A37)</f>
        <v/>
      </c>
      <c r="D66" s="232">
        <f>IF(SUM($D$39:$D$61)-D34&lt;0,0,SUM($D$39:$D$61)-D34)</f>
        <v>0</v>
      </c>
      <c r="E66" s="410"/>
      <c r="F66" s="210" t="str">
        <f>Vertaling!A37</f>
        <v>is berekend:</v>
      </c>
      <c r="G66" s="403"/>
      <c r="H66" s="232">
        <f>IF(SUM($H$39:$H$61)-H34&lt;0,0,SUM($H$39:$H$61)-H34)</f>
        <v>0</v>
      </c>
    </row>
    <row r="67" spans="1:9" x14ac:dyDescent="0.25">
      <c r="A67" s="187"/>
      <c r="B67" s="194"/>
      <c r="D67" s="239"/>
      <c r="E67" s="417"/>
      <c r="F67" s="240"/>
      <c r="G67" s="431"/>
      <c r="H67" s="239"/>
    </row>
    <row r="68" spans="1:9" ht="31.5" customHeight="1" x14ac:dyDescent="0.25">
      <c r="A68" s="187"/>
      <c r="B68" s="200" t="str">
        <f>IF(OR(VRAGENLIJST!$D$4=dropdowns!$B$6,VRAGENLIJST!D4=dropdowns!C6),Vertaling!A72,"")</f>
        <v/>
      </c>
      <c r="C68" s="210" t="str">
        <f>IF($D$14="","",Vertaling!$A73)</f>
        <v/>
      </c>
      <c r="D68" s="225"/>
      <c r="E68" s="406"/>
      <c r="F68" s="210" t="str">
        <f>IF(VRAGENLIJST!$D$4=dropdowns!$A$6,Vertaling!A73,"")</f>
        <v/>
      </c>
      <c r="G68" s="403"/>
      <c r="H68" s="225"/>
    </row>
    <row r="69" spans="1:9" x14ac:dyDescent="0.25">
      <c r="A69" s="187"/>
      <c r="B69" s="199"/>
      <c r="C69" s="241"/>
      <c r="D69" s="242"/>
      <c r="E69" s="418"/>
      <c r="F69" s="241"/>
      <c r="G69" s="432"/>
      <c r="H69" s="242"/>
    </row>
    <row r="70" spans="1:9" x14ac:dyDescent="0.25">
      <c r="C70" s="216"/>
      <c r="D70" s="217"/>
      <c r="E70" s="412"/>
    </row>
    <row r="71" spans="1:9" x14ac:dyDescent="0.25">
      <c r="B71" s="201" t="str">
        <f>Vertaling!A74</f>
        <v>Privé: Eigen geld, bezittingen en schulden</v>
      </c>
      <c r="C71" s="215"/>
      <c r="D71" s="209" t="str">
        <f>$D$14</f>
        <v/>
      </c>
      <c r="E71" s="401"/>
      <c r="H71" s="209" t="str">
        <f>$H$14</f>
        <v>Ondernemer:</v>
      </c>
    </row>
    <row r="72" spans="1:9" x14ac:dyDescent="0.25">
      <c r="A72" s="193" t="str">
        <f>CONCATENATE(LEFT(A38,2)+1,".")</f>
        <v>11.</v>
      </c>
      <c r="B72" s="194" t="str">
        <f>Vertaling!A75</f>
        <v>Heb je een koopwoning?</v>
      </c>
      <c r="C72" s="210" t="str">
        <f>IF($D$14="","",Vertaling!A32)</f>
        <v/>
      </c>
      <c r="D72" s="243"/>
      <c r="E72" s="419"/>
      <c r="F72" s="210" t="str">
        <f>Vertaling!A32</f>
        <v>selecteer:</v>
      </c>
      <c r="G72" s="403"/>
      <c r="H72" s="243"/>
      <c r="I72" s="48"/>
    </row>
    <row r="73" spans="1:9" ht="7.5" customHeight="1" x14ac:dyDescent="0.25">
      <c r="A73" s="195"/>
      <c r="B73" s="194"/>
      <c r="C73" s="210"/>
      <c r="D73" s="235"/>
      <c r="E73" s="414"/>
      <c r="F73" s="210"/>
      <c r="G73" s="403"/>
      <c r="H73" s="235"/>
      <c r="I73" s="21"/>
    </row>
    <row r="74" spans="1:9" x14ac:dyDescent="0.25">
      <c r="A74" s="193" t="str">
        <f>CONCATENATE(LEFT(A72,2)+1,".")</f>
        <v>12.</v>
      </c>
      <c r="B74" s="194" t="str">
        <f>IF(OR(VRAGENLIJST!D72=dropdowns!$B$24,VRAGENLIJST!H72=dropdowns!$B$24,VRAGENLIJST!D72=dropdowns!$C$24,VRAGENLIJST!H72=dropdowns!$C$24),Vertaling!A76,"")</f>
        <v/>
      </c>
      <c r="C74" s="210" t="str">
        <f>IF(OR(VRAGENLIJST!D72=dropdowns!$B$24,VRAGENLIJST!D72=dropdowns!$C$24),IF($D$14="","",Vertaling!$A$34),"")</f>
        <v/>
      </c>
      <c r="D74" s="234"/>
      <c r="E74" s="413"/>
      <c r="F74" s="210" t="str">
        <f>IF(OR(VRAGENLIJST!H72=dropdowns!$B$24,VRAGENLIJST!H72=dropdowns!$C$24),Vertaling!$A$34,"")</f>
        <v/>
      </c>
      <c r="G74" s="403"/>
      <c r="H74" s="234"/>
    </row>
    <row r="75" spans="1:9" ht="7.5" customHeight="1" x14ac:dyDescent="0.25">
      <c r="A75" s="195"/>
      <c r="B75" s="194"/>
      <c r="C75" s="210"/>
      <c r="D75" s="235"/>
      <c r="E75" s="414"/>
      <c r="F75" s="210"/>
      <c r="G75" s="403"/>
      <c r="H75" s="235"/>
      <c r="I75" s="21"/>
    </row>
    <row r="76" spans="1:9" x14ac:dyDescent="0.25">
      <c r="A76" s="193" t="str">
        <f>CONCATENATE(LEFT(A74,2)+1,".")</f>
        <v>13.</v>
      </c>
      <c r="B76" s="194" t="str">
        <f>IF(OR(VRAGENLIJST!D72=dropdowns!$B$24,VRAGENLIJST!H72=dropdowns!$B$24,VRAGENLIJST!D72=dropdowns!$C$24,VRAGENLIJST!H72=dropdowns!$C$24),Vertaling!A77,"")</f>
        <v/>
      </c>
      <c r="C76" s="210" t="str">
        <f>IF(OR(VRAGENLIJST!D72=dropdowns!$B$24,VRAGENLIJST!D72=dropdowns!$C$24),IF($D$14="","",Vertaling!$A$34),"")</f>
        <v/>
      </c>
      <c r="D76" s="234"/>
      <c r="E76" s="413"/>
      <c r="F76" s="210" t="str">
        <f>IF(OR(VRAGENLIJST!H72=dropdowns!$B$24,VRAGENLIJST!H72=dropdowns!$C$24),Vertaling!$A$34,"")</f>
        <v/>
      </c>
      <c r="G76" s="403"/>
      <c r="H76" s="234"/>
    </row>
    <row r="77" spans="1:9" ht="7.5" customHeight="1" x14ac:dyDescent="0.25">
      <c r="A77" s="195"/>
      <c r="B77" s="194"/>
      <c r="C77" s="210"/>
      <c r="D77" s="235"/>
      <c r="E77" s="414"/>
      <c r="F77" s="210"/>
      <c r="G77" s="403"/>
      <c r="H77" s="235"/>
      <c r="I77" s="21"/>
    </row>
    <row r="78" spans="1:9" ht="26.25" x14ac:dyDescent="0.25">
      <c r="A78" s="193" t="str">
        <f>CONCATENATE(LEFT(A76,2)+1,".")</f>
        <v>14.</v>
      </c>
      <c r="B78" s="194" t="str">
        <f>Vertaling!A78</f>
        <v>Als je (naast je hypotheek) nog andere schulden hebt, hoe hoog zijn deze schulden?</v>
      </c>
      <c r="C78" s="210" t="str">
        <f>IF($D$14="","",Vertaling!$A$34)</f>
        <v/>
      </c>
      <c r="D78" s="225"/>
      <c r="E78" s="406"/>
      <c r="F78" s="210" t="str">
        <f>Vertaling!$A$34</f>
        <v>vul bedrag in:</v>
      </c>
      <c r="G78" s="403"/>
      <c r="H78" s="225"/>
    </row>
    <row r="79" spans="1:9" ht="7.5" customHeight="1" x14ac:dyDescent="0.25">
      <c r="A79" s="195"/>
      <c r="B79" s="194"/>
      <c r="C79" s="210"/>
      <c r="D79" s="235"/>
      <c r="E79" s="414"/>
      <c r="F79" s="210"/>
      <c r="G79" s="403"/>
      <c r="H79" s="235"/>
      <c r="I79" s="21"/>
    </row>
    <row r="80" spans="1:9" x14ac:dyDescent="0.25">
      <c r="A80" s="193" t="str">
        <f>CONCATENATE(LEFT(A78,2)+1,".")</f>
        <v>15.</v>
      </c>
      <c r="B80" s="194" t="str">
        <f>Vertaling!A79</f>
        <v xml:space="preserve">Hoeveel spaargeld heb je op dit moment? </v>
      </c>
      <c r="C80" s="210" t="str">
        <f>IF($D$14="","",Vertaling!$A$34)</f>
        <v/>
      </c>
      <c r="D80" s="234"/>
      <c r="E80" s="413"/>
      <c r="F80" s="210" t="str">
        <f>Vertaling!$A$34</f>
        <v>vul bedrag in:</v>
      </c>
      <c r="G80" s="403"/>
      <c r="H80" s="234"/>
    </row>
    <row r="81" spans="1:64" ht="7.5" customHeight="1" x14ac:dyDescent="0.25">
      <c r="A81" s="195"/>
      <c r="B81" s="194"/>
      <c r="C81" s="210"/>
      <c r="D81" s="235"/>
      <c r="E81" s="414"/>
      <c r="F81" s="210"/>
      <c r="G81" s="403"/>
      <c r="H81" s="235"/>
      <c r="I81" s="21"/>
    </row>
    <row r="82" spans="1:64" ht="30" customHeight="1" x14ac:dyDescent="0.25">
      <c r="A82" s="193" t="str">
        <f>CONCATENATE(LEFT(A80,2)+1,".")</f>
        <v>16.</v>
      </c>
      <c r="B82" s="194" t="str">
        <f>Vertaling!A81</f>
        <v>Als je nog ander vermogen hebt, zoals aandelen of vastgoed, wat is de waarde hiervan?</v>
      </c>
      <c r="C82" s="210" t="str">
        <f>IF($D$14="","",Vertaling!$A$34)</f>
        <v/>
      </c>
      <c r="D82" s="225"/>
      <c r="E82" s="406"/>
      <c r="F82" s="210" t="str">
        <f>Vertaling!$A$34</f>
        <v>vul bedrag in:</v>
      </c>
      <c r="G82" s="403"/>
      <c r="H82" s="225"/>
    </row>
    <row r="83" spans="1:64" ht="7.5" customHeight="1" x14ac:dyDescent="0.25">
      <c r="B83" s="194"/>
      <c r="C83" s="216"/>
      <c r="D83" s="217"/>
      <c r="E83" s="412"/>
    </row>
    <row r="85" spans="1:64" s="26" customFormat="1" x14ac:dyDescent="0.25">
      <c r="A85" s="202"/>
      <c r="B85" s="196" t="str">
        <f>Vertaling!A82</f>
        <v>Investeringen (voor langere periode)</v>
      </c>
      <c r="C85" s="244"/>
      <c r="D85" s="245"/>
      <c r="E85" s="420"/>
      <c r="F85" s="246"/>
      <c r="G85" s="433"/>
      <c r="H85" s="217"/>
      <c r="I85" s="25"/>
      <c r="J85" s="32"/>
      <c r="K85" s="32"/>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5"/>
      <c r="AN85" s="35"/>
      <c r="AO85" s="35"/>
      <c r="AP85" s="35"/>
      <c r="AQ85" s="35"/>
      <c r="AR85" s="35"/>
      <c r="AS85" s="35"/>
      <c r="AT85" s="35"/>
      <c r="AU85" s="35"/>
      <c r="AV85" s="35"/>
      <c r="AW85" s="35"/>
      <c r="AX85" s="35"/>
      <c r="AY85" s="35"/>
      <c r="AZ85" s="36"/>
      <c r="BA85" s="36"/>
      <c r="BB85" s="36"/>
      <c r="BC85" s="36"/>
      <c r="BD85" s="36"/>
      <c r="BE85" s="36"/>
      <c r="BF85" s="36"/>
      <c r="BG85" s="36"/>
      <c r="BH85" s="36"/>
      <c r="BI85" s="36"/>
      <c r="BJ85" s="36"/>
      <c r="BK85" s="36"/>
      <c r="BL85" s="36"/>
    </row>
    <row r="86" spans="1:64" s="26" customFormat="1" x14ac:dyDescent="0.25">
      <c r="A86" s="193" t="str">
        <f>CONCATENATE(LEFT(A82,2)+1,".")</f>
        <v>17.</v>
      </c>
      <c r="B86" s="194" t="str">
        <f>Vertaling!A83</f>
        <v xml:space="preserve">Wat heb je nodig om te kunnen starten met je bedrijf?  </v>
      </c>
      <c r="C86" s="244"/>
      <c r="D86" s="209" t="str">
        <f>Vertaling!A31</f>
        <v>Antwoord:</v>
      </c>
      <c r="E86" s="401"/>
      <c r="F86" s="246"/>
      <c r="G86" s="433"/>
      <c r="H86" s="209" t="str">
        <f>Vertaling!A31</f>
        <v>Antwoord:</v>
      </c>
      <c r="I86" s="25"/>
      <c r="J86" s="3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5"/>
      <c r="AN86" s="35"/>
      <c r="AO86" s="35"/>
      <c r="AP86" s="35"/>
      <c r="AQ86" s="35"/>
      <c r="AR86" s="35"/>
      <c r="AS86" s="35"/>
      <c r="AT86" s="35"/>
      <c r="AU86" s="35"/>
      <c r="AV86" s="35"/>
      <c r="AW86" s="35"/>
      <c r="AX86" s="35"/>
      <c r="AY86" s="35"/>
      <c r="AZ86" s="36"/>
      <c r="BA86" s="36"/>
      <c r="BB86" s="36"/>
      <c r="BC86" s="36"/>
      <c r="BD86" s="36"/>
      <c r="BE86" s="36"/>
      <c r="BF86" s="36"/>
      <c r="BG86" s="36"/>
      <c r="BH86" s="36"/>
      <c r="BI86" s="36"/>
      <c r="BJ86" s="36"/>
      <c r="BK86" s="36"/>
      <c r="BL86" s="36"/>
    </row>
    <row r="87" spans="1:64" x14ac:dyDescent="0.25">
      <c r="A87" s="195" t="s">
        <v>30</v>
      </c>
      <c r="B87" s="194" t="str">
        <f>Vertaling!A84</f>
        <v>Aankoop onroerend goed</v>
      </c>
      <c r="C87" s="210" t="str">
        <f>Vertaling!A32</f>
        <v>selecteer:</v>
      </c>
      <c r="D87" s="243"/>
      <c r="E87" s="419"/>
      <c r="F87" s="210" t="str">
        <f>Vertaling!$A$34</f>
        <v>vul bedrag in:</v>
      </c>
      <c r="G87" s="403"/>
      <c r="H87" s="234"/>
      <c r="I87" s="21"/>
    </row>
    <row r="88" spans="1:64" ht="7.5" customHeight="1" x14ac:dyDescent="0.25">
      <c r="A88" s="195"/>
      <c r="B88" s="194"/>
      <c r="C88" s="210"/>
      <c r="D88" s="247"/>
      <c r="E88" s="421"/>
      <c r="F88" s="210"/>
      <c r="G88" s="403"/>
      <c r="H88" s="235"/>
      <c r="I88" s="21"/>
    </row>
    <row r="89" spans="1:64" x14ac:dyDescent="0.25">
      <c r="A89" s="195" t="s">
        <v>30</v>
      </c>
      <c r="B89" s="194" t="str">
        <f>Vertaling!A85</f>
        <v>Verbouwing</v>
      </c>
      <c r="C89" s="210" t="str">
        <f>Vertaling!A32</f>
        <v>selecteer:</v>
      </c>
      <c r="D89" s="243"/>
      <c r="E89" s="419"/>
      <c r="F89" s="210" t="str">
        <f>Vertaling!$A$34</f>
        <v>vul bedrag in:</v>
      </c>
      <c r="G89" s="403"/>
      <c r="H89" s="234"/>
      <c r="I89" s="21"/>
    </row>
    <row r="90" spans="1:64" ht="7.5" customHeight="1" x14ac:dyDescent="0.25">
      <c r="A90" s="195"/>
      <c r="B90" s="194"/>
      <c r="C90" s="210"/>
      <c r="D90" s="247"/>
      <c r="E90" s="421"/>
      <c r="F90" s="210"/>
      <c r="G90" s="403"/>
      <c r="H90" s="235"/>
      <c r="I90" s="21"/>
    </row>
    <row r="91" spans="1:64" x14ac:dyDescent="0.25">
      <c r="A91" s="195" t="s">
        <v>30</v>
      </c>
      <c r="B91" s="194" t="str">
        <f>Vertaling!A86</f>
        <v>Inventaris</v>
      </c>
      <c r="C91" s="210" t="str">
        <f>Vertaling!A32</f>
        <v>selecteer:</v>
      </c>
      <c r="D91" s="243"/>
      <c r="E91" s="419"/>
      <c r="F91" s="210" t="str">
        <f>Vertaling!$A$34</f>
        <v>vul bedrag in:</v>
      </c>
      <c r="G91" s="403"/>
      <c r="H91" s="234"/>
      <c r="I91" s="21"/>
    </row>
    <row r="92" spans="1:64" ht="7.5" customHeight="1" x14ac:dyDescent="0.25">
      <c r="A92" s="195"/>
      <c r="B92" s="194"/>
      <c r="C92" s="210"/>
      <c r="D92" s="247"/>
      <c r="E92" s="421"/>
      <c r="F92" s="210"/>
      <c r="G92" s="403"/>
      <c r="H92" s="235"/>
      <c r="I92" s="21"/>
    </row>
    <row r="93" spans="1:64" x14ac:dyDescent="0.25">
      <c r="A93" s="195" t="s">
        <v>30</v>
      </c>
      <c r="B93" s="194" t="str">
        <f>Vertaling!A87</f>
        <v>Machines en/of gereedschappen</v>
      </c>
      <c r="C93" s="210" t="str">
        <f>Vertaling!A32</f>
        <v>selecteer:</v>
      </c>
      <c r="D93" s="243"/>
      <c r="E93" s="419"/>
      <c r="F93" s="210" t="str">
        <f>Vertaling!$A$34</f>
        <v>vul bedrag in:</v>
      </c>
      <c r="G93" s="403"/>
      <c r="H93" s="234"/>
      <c r="I93" s="21"/>
    </row>
    <row r="94" spans="1:64" ht="7.5" customHeight="1" x14ac:dyDescent="0.25">
      <c r="A94" s="195"/>
      <c r="B94" s="194"/>
      <c r="C94" s="210"/>
      <c r="D94" s="247"/>
      <c r="E94" s="421"/>
      <c r="F94" s="210"/>
      <c r="G94" s="403"/>
      <c r="H94" s="235"/>
      <c r="I94" s="21"/>
    </row>
    <row r="95" spans="1:64" x14ac:dyDescent="0.25">
      <c r="A95" s="195" t="s">
        <v>30</v>
      </c>
      <c r="B95" s="194" t="str">
        <f>Vertaling!A88</f>
        <v>Computer en/of software</v>
      </c>
      <c r="C95" s="210" t="str">
        <f>Vertaling!A32</f>
        <v>selecteer:</v>
      </c>
      <c r="D95" s="243"/>
      <c r="E95" s="419"/>
      <c r="F95" s="210" t="str">
        <f>Vertaling!$A$34</f>
        <v>vul bedrag in:</v>
      </c>
      <c r="G95" s="403"/>
      <c r="H95" s="234"/>
      <c r="I95" s="21"/>
    </row>
    <row r="96" spans="1:64" ht="7.5" customHeight="1" x14ac:dyDescent="0.25">
      <c r="A96" s="195"/>
      <c r="B96" s="194"/>
      <c r="C96" s="210"/>
      <c r="D96" s="247"/>
      <c r="E96" s="421"/>
      <c r="F96" s="210"/>
      <c r="G96" s="403"/>
      <c r="H96" s="235"/>
      <c r="I96" s="21"/>
    </row>
    <row r="97" spans="1:9" x14ac:dyDescent="0.25">
      <c r="A97" s="195" t="s">
        <v>30</v>
      </c>
      <c r="B97" s="194" t="str">
        <f>Vertaling!A89</f>
        <v>Transportmiddel</v>
      </c>
      <c r="C97" s="210" t="str">
        <f>Vertaling!A32</f>
        <v>selecteer:</v>
      </c>
      <c r="D97" s="243"/>
      <c r="E97" s="419"/>
      <c r="F97" s="210" t="str">
        <f>Vertaling!$A$34</f>
        <v>vul bedrag in:</v>
      </c>
      <c r="G97" s="403"/>
      <c r="H97" s="234"/>
      <c r="I97" s="21"/>
    </row>
    <row r="98" spans="1:9" ht="7.5" customHeight="1" x14ac:dyDescent="0.25">
      <c r="A98" s="195"/>
      <c r="B98" s="194"/>
      <c r="C98" s="210"/>
      <c r="D98" s="247"/>
      <c r="E98" s="421"/>
      <c r="F98" s="210"/>
      <c r="G98" s="403"/>
      <c r="H98" s="235"/>
      <c r="I98" s="21"/>
    </row>
    <row r="99" spans="1:9" x14ac:dyDescent="0.25">
      <c r="A99" s="195" t="s">
        <v>30</v>
      </c>
      <c r="B99" s="194" t="str">
        <f>Vertaling!A90</f>
        <v>Startvoorraad product 1</v>
      </c>
      <c r="C99" s="210" t="str">
        <f>Vertaling!A32</f>
        <v>selecteer:</v>
      </c>
      <c r="D99" s="243"/>
      <c r="E99" s="419"/>
      <c r="F99" s="210" t="str">
        <f>Vertaling!$A$34</f>
        <v>vul bedrag in:</v>
      </c>
      <c r="G99" s="403"/>
      <c r="H99" s="234"/>
      <c r="I99" s="21"/>
    </row>
    <row r="100" spans="1:9" ht="7.5" customHeight="1" x14ac:dyDescent="0.25">
      <c r="A100" s="195"/>
      <c r="B100" s="194"/>
      <c r="C100" s="229"/>
      <c r="D100" s="247"/>
      <c r="E100" s="421"/>
      <c r="F100" s="210"/>
      <c r="G100" s="403"/>
      <c r="H100" s="235"/>
      <c r="I100" s="21"/>
    </row>
    <row r="101" spans="1:9" x14ac:dyDescent="0.25">
      <c r="A101" s="195" t="s">
        <v>30</v>
      </c>
      <c r="B101" s="194" t="str">
        <f>Vertaling!A91</f>
        <v>Startvoorraad product 2</v>
      </c>
      <c r="C101" s="210" t="str">
        <f>Vertaling!A32</f>
        <v>selecteer:</v>
      </c>
      <c r="D101" s="243"/>
      <c r="E101" s="419"/>
      <c r="F101" s="210" t="str">
        <f>Vertaling!$A$34</f>
        <v>vul bedrag in:</v>
      </c>
      <c r="G101" s="403"/>
      <c r="H101" s="234"/>
      <c r="I101" s="21"/>
    </row>
    <row r="102" spans="1:9" ht="7.5" customHeight="1" x14ac:dyDescent="0.25">
      <c r="A102" s="195"/>
      <c r="B102" s="194"/>
      <c r="C102" s="229"/>
      <c r="D102" s="247"/>
      <c r="E102" s="421"/>
      <c r="F102" s="210"/>
      <c r="G102" s="403"/>
      <c r="H102" s="235"/>
      <c r="I102" s="21"/>
    </row>
    <row r="103" spans="1:9" ht="15" customHeight="1" x14ac:dyDescent="0.25">
      <c r="A103" s="195" t="s">
        <v>30</v>
      </c>
      <c r="B103" s="194" t="str">
        <f>Vertaling!A92</f>
        <v>Startvoorraad product 3</v>
      </c>
      <c r="C103" s="229" t="str">
        <f>Vertaling!A32</f>
        <v>selecteer:</v>
      </c>
      <c r="D103" s="243"/>
      <c r="E103" s="421"/>
      <c r="F103" s="210" t="str">
        <f>Vertaling!$A$34</f>
        <v>vul bedrag in:</v>
      </c>
      <c r="G103" s="403"/>
      <c r="H103" s="234"/>
      <c r="I103" s="21"/>
    </row>
    <row r="104" spans="1:9" ht="7.5" customHeight="1" x14ac:dyDescent="0.25">
      <c r="A104" s="195"/>
      <c r="B104" s="194"/>
      <c r="C104" s="229"/>
      <c r="D104" s="247"/>
      <c r="E104" s="421"/>
      <c r="F104" s="210"/>
      <c r="G104" s="403"/>
      <c r="H104" s="235"/>
      <c r="I104" s="21"/>
    </row>
    <row r="105" spans="1:9" x14ac:dyDescent="0.25">
      <c r="A105" s="195" t="s">
        <v>30</v>
      </c>
      <c r="B105" s="194" t="str">
        <f>Vertaling!A93</f>
        <v>Huurgarantie</v>
      </c>
      <c r="F105" s="210" t="str">
        <f>Vertaling!$A$34</f>
        <v>vul bedrag in:</v>
      </c>
      <c r="G105" s="403"/>
      <c r="H105" s="234"/>
    </row>
    <row r="106" spans="1:9" ht="7.5" customHeight="1" x14ac:dyDescent="0.25">
      <c r="A106" s="195"/>
      <c r="B106" s="194"/>
      <c r="C106" s="229"/>
      <c r="D106" s="247"/>
      <c r="E106" s="421"/>
      <c r="F106" s="210"/>
      <c r="G106" s="403"/>
      <c r="H106" s="235"/>
      <c r="I106" s="21"/>
    </row>
    <row r="107" spans="1:9" x14ac:dyDescent="0.25">
      <c r="A107" s="195" t="s">
        <v>30</v>
      </c>
      <c r="B107" s="194" t="str">
        <f>Vertaling!A94</f>
        <v>Franchisefee</v>
      </c>
      <c r="F107" s="210" t="str">
        <f>Vertaling!$A$34</f>
        <v>vul bedrag in:</v>
      </c>
      <c r="G107" s="403"/>
      <c r="H107" s="234"/>
    </row>
    <row r="108" spans="1:9" ht="7.5" customHeight="1" x14ac:dyDescent="0.25">
      <c r="A108" s="195"/>
      <c r="B108" s="194"/>
      <c r="C108" s="229"/>
      <c r="D108" s="247"/>
      <c r="E108" s="421"/>
      <c r="F108" s="210"/>
      <c r="G108" s="403"/>
      <c r="H108" s="235"/>
      <c r="I108" s="21"/>
    </row>
    <row r="109" spans="1:9" x14ac:dyDescent="0.25">
      <c r="A109" s="195" t="s">
        <v>30</v>
      </c>
      <c r="B109" s="194" t="str">
        <f>Vertaling!A95</f>
        <v>Goodwill</v>
      </c>
      <c r="F109" s="210" t="str">
        <f>Vertaling!$A$34</f>
        <v>vul bedrag in:</v>
      </c>
      <c r="G109" s="403"/>
      <c r="H109" s="234"/>
    </row>
    <row r="110" spans="1:9" ht="7.5" customHeight="1" x14ac:dyDescent="0.25">
      <c r="A110" s="195"/>
      <c r="B110" s="194"/>
      <c r="C110" s="229"/>
      <c r="D110" s="247"/>
      <c r="E110" s="421"/>
      <c r="F110" s="210"/>
      <c r="G110" s="403"/>
      <c r="H110" s="235"/>
      <c r="I110" s="21"/>
    </row>
    <row r="111" spans="1:9" x14ac:dyDescent="0.25">
      <c r="A111" s="195" t="s">
        <v>30</v>
      </c>
      <c r="B111" s="194" t="str">
        <f>Vertaling!A96</f>
        <v>Promotiekosten</v>
      </c>
      <c r="F111" s="210" t="str">
        <f>Vertaling!$A$34</f>
        <v>vul bedrag in:</v>
      </c>
      <c r="G111" s="403"/>
      <c r="H111" s="234"/>
    </row>
    <row r="112" spans="1:9" ht="7.5" customHeight="1" x14ac:dyDescent="0.25">
      <c r="A112" s="195"/>
      <c r="B112" s="194"/>
      <c r="F112" s="210"/>
      <c r="G112" s="403"/>
      <c r="H112" s="235"/>
    </row>
    <row r="113" spans="1:64" x14ac:dyDescent="0.25">
      <c r="A113" s="195" t="s">
        <v>30</v>
      </c>
      <c r="B113" s="194" t="str">
        <f>Vertaling!A97</f>
        <v>Btw over investeringen</v>
      </c>
      <c r="F113" s="210" t="str">
        <f>Vertaling!A37</f>
        <v>is berekend:</v>
      </c>
      <c r="G113" s="403"/>
      <c r="H113" s="248">
        <f>(IF(OR(D89=dropdowns!$B$29,D89=dropdowns!$C$29,D89=dropdowns!$D$29,D89=dropdowns!$E$29),VRAGENLIJST!H89,0)+IF(OR(D91=dropdowns!$B$29,D91=dropdowns!$C$29,D91=dropdowns!$D$29,D91=dropdowns!$E$29),VRAGENLIJST!H91,0)+IF(OR(D93=dropdowns!$B$29,D93=dropdowns!$C$29,D93=dropdowns!$D$29,D93=dropdowns!$E$29),VRAGENLIJST!H93,0)+IF(OR(D95=dropdowns!$B$29,D95=dropdowns!$C$29,D95=dropdowns!$D$29,D95=dropdowns!$E$29),VRAGENLIJST!H95,0)+IF(OR(D97=dropdowns!$B$29,D97=dropdowns!$C$29,D97=dropdowns!$D$29,D97=dropdowns!$E$29),VRAGENLIJST!H97,0))*0.21+H111*0.21+IF(OR(D99=dropdowns!$B$29,D99=dropdowns!$C$29,D99=dropdowns!$D$29,D99=dropdowns!$E$29),H99,0)*D168+IF(OR(D101=dropdowns!$B$29,D101=dropdowns!$C$29,D101=dropdowns!$D$29,D101=dropdowns!$E$29),H101,0)*F168+IF(OR(D103=dropdowns!$B$29,D103=dropdowns!$C$29,D103=dropdowns!$D$29,D103=dropdowns!$E$29),H103,0)*H168+SUMIFS(H89:H97,D89:D97,"")*0.21+SUMIFS(H98:H99,D98:D99,"")*D168+SUMIFS(H100:H101,D100:D101,"")*F168+SUMIFS(H102:H103,D102:D103,"")*H168</f>
        <v>0</v>
      </c>
    </row>
    <row r="114" spans="1:64" s="26" customFormat="1" ht="7.5" customHeight="1" x14ac:dyDescent="0.25">
      <c r="A114" s="202"/>
      <c r="B114" s="203"/>
      <c r="C114" s="244"/>
      <c r="D114" s="245"/>
      <c r="E114" s="420"/>
      <c r="F114" s="249"/>
      <c r="G114" s="434"/>
      <c r="H114" s="217"/>
      <c r="I114" s="25"/>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5"/>
      <c r="AN114" s="35"/>
      <c r="AO114" s="35"/>
      <c r="AP114" s="35"/>
      <c r="AQ114" s="35"/>
      <c r="AR114" s="35"/>
      <c r="AS114" s="35"/>
      <c r="AT114" s="35"/>
      <c r="AU114" s="35"/>
      <c r="AV114" s="35"/>
      <c r="AW114" s="35"/>
      <c r="AX114" s="35"/>
      <c r="AY114" s="35"/>
      <c r="AZ114" s="36"/>
      <c r="BA114" s="36"/>
      <c r="BB114" s="36"/>
      <c r="BC114" s="36"/>
      <c r="BD114" s="36"/>
      <c r="BE114" s="36"/>
      <c r="BF114" s="36"/>
      <c r="BG114" s="36"/>
      <c r="BH114" s="36"/>
      <c r="BI114" s="36"/>
      <c r="BJ114" s="36"/>
      <c r="BK114" s="36"/>
      <c r="BL114" s="36"/>
    </row>
    <row r="115" spans="1:64" x14ac:dyDescent="0.25">
      <c r="A115" s="195" t="s">
        <v>30</v>
      </c>
      <c r="B115" s="194" t="str">
        <f>Vertaling!A98</f>
        <v>Overbrugging, aanloopkosten en overig/onvoorzien</v>
      </c>
      <c r="F115" s="210" t="str">
        <f>Vertaling!$A$34</f>
        <v>vul bedrag in:</v>
      </c>
      <c r="G115" s="403"/>
      <c r="H115" s="234"/>
    </row>
    <row r="116" spans="1:64" s="26" customFormat="1" x14ac:dyDescent="0.25">
      <c r="A116" s="202"/>
      <c r="B116" s="203"/>
      <c r="C116" s="244"/>
      <c r="D116" s="245"/>
      <c r="E116" s="420"/>
      <c r="F116" s="249"/>
      <c r="G116" s="434"/>
      <c r="H116" s="217"/>
      <c r="I116" s="25"/>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5"/>
      <c r="AN116" s="35"/>
      <c r="AO116" s="35"/>
      <c r="AP116" s="35"/>
      <c r="AQ116" s="35"/>
      <c r="AR116" s="35"/>
      <c r="AS116" s="35"/>
      <c r="AT116" s="35"/>
      <c r="AU116" s="35"/>
      <c r="AV116" s="35"/>
      <c r="AW116" s="35"/>
      <c r="AX116" s="35"/>
      <c r="AY116" s="35"/>
      <c r="AZ116" s="36"/>
      <c r="BA116" s="36"/>
      <c r="BB116" s="36"/>
      <c r="BC116" s="36"/>
      <c r="BD116" s="36"/>
      <c r="BE116" s="36"/>
      <c r="BF116" s="36"/>
      <c r="BG116" s="36"/>
      <c r="BH116" s="36"/>
      <c r="BI116" s="36"/>
      <c r="BJ116" s="36"/>
      <c r="BK116" s="36"/>
      <c r="BL116" s="36"/>
    </row>
    <row r="117" spans="1:64" x14ac:dyDescent="0.25">
      <c r="B117" s="196" t="str">
        <f>Vertaling!A99</f>
        <v>Financieringen</v>
      </c>
      <c r="F117" s="215"/>
      <c r="G117" s="430"/>
      <c r="H117" s="209" t="str">
        <f>Vertaling!A31</f>
        <v>Antwoord:</v>
      </c>
    </row>
    <row r="118" spans="1:64" x14ac:dyDescent="0.25">
      <c r="A118" s="193" t="str">
        <f>CONCATENATE(LEFT(A86,2)+1,".")</f>
        <v>18.</v>
      </c>
      <c r="B118" s="194" t="str">
        <f>Vertaling!A100</f>
        <v>Hoeveel (spaar)geld ga je zelf inbrengen?</v>
      </c>
      <c r="F118" s="210" t="str">
        <f>Vertaling!$A$34</f>
        <v>vul bedrag in:</v>
      </c>
      <c r="G118" s="403"/>
      <c r="H118" s="234"/>
    </row>
    <row r="119" spans="1:64" x14ac:dyDescent="0.25">
      <c r="A119" s="193"/>
      <c r="B119" s="194"/>
      <c r="F119" s="191"/>
      <c r="G119" s="435"/>
      <c r="H119" s="190"/>
    </row>
    <row r="120" spans="1:64" ht="16.5" customHeight="1" x14ac:dyDescent="0.2">
      <c r="A120" s="193" t="str">
        <f>CONCATENATE(LEFT(A118,2)+1,".")</f>
        <v>19.</v>
      </c>
      <c r="B120" s="473" t="str">
        <f>Vertaling!A101</f>
        <v>Hoeveel geld heb je geleend en/of ga je lenen bij familie/vrienden?</v>
      </c>
      <c r="C120" s="473"/>
      <c r="D120" s="473"/>
      <c r="E120" s="422"/>
      <c r="F120" s="210" t="str">
        <f>Vertaling!$A$34</f>
        <v>vul bedrag in:</v>
      </c>
      <c r="G120" s="403"/>
      <c r="H120" s="234"/>
      <c r="J120" s="37"/>
    </row>
    <row r="121" spans="1:64" ht="7.5" customHeight="1" x14ac:dyDescent="0.2">
      <c r="A121" s="193"/>
      <c r="B121" s="194"/>
      <c r="F121" s="210"/>
      <c r="G121" s="403"/>
      <c r="H121" s="247"/>
      <c r="J121" s="37"/>
    </row>
    <row r="122" spans="1:64" ht="16.5" customHeight="1" x14ac:dyDescent="0.2">
      <c r="A122" s="193"/>
      <c r="B122" s="473" t="str">
        <f>IF(VRAGENLIJST!$H$120&gt;0,Vertaling!A102,"")</f>
        <v/>
      </c>
      <c r="C122" s="473"/>
      <c r="D122" s="473"/>
      <c r="E122" s="422"/>
      <c r="F122" s="229" t="str">
        <f>IF(VRAGENLIJST!$H$120&gt;0,Vertaling!A34,"")</f>
        <v/>
      </c>
      <c r="G122" s="426"/>
      <c r="H122" s="234"/>
      <c r="I122" s="50"/>
      <c r="J122" s="37"/>
    </row>
    <row r="123" spans="1:64" ht="7.5" customHeight="1" x14ac:dyDescent="0.25">
      <c r="A123" s="195"/>
      <c r="B123" s="194"/>
      <c r="C123" s="229"/>
      <c r="D123" s="247"/>
      <c r="E123" s="421"/>
      <c r="F123" s="210"/>
      <c r="G123" s="403"/>
      <c r="H123" s="235"/>
      <c r="I123" s="21"/>
    </row>
    <row r="124" spans="1:64" ht="16.5" customHeight="1" x14ac:dyDescent="0.2">
      <c r="A124" s="193"/>
      <c r="B124" s="473" t="str">
        <f>IF(VRAGENLIJST!$H$120&gt;0,Vertaling!A103,"")</f>
        <v/>
      </c>
      <c r="C124" s="473"/>
      <c r="D124" s="473"/>
      <c r="E124" s="422"/>
      <c r="F124" s="229" t="str">
        <f>IF(VRAGENLIJST!$H$120&gt;0,Vertaling!A34,"")</f>
        <v/>
      </c>
      <c r="G124" s="426"/>
      <c r="H124" s="234"/>
      <c r="I124" s="21"/>
      <c r="J124" s="37"/>
    </row>
    <row r="125" spans="1:64" ht="7.5" customHeight="1" x14ac:dyDescent="0.25">
      <c r="A125" s="195"/>
      <c r="B125" s="194"/>
      <c r="C125" s="229"/>
      <c r="D125" s="247"/>
      <c r="E125" s="421"/>
      <c r="F125" s="210"/>
      <c r="G125" s="403"/>
      <c r="H125" s="235"/>
      <c r="I125" s="21"/>
    </row>
    <row r="126" spans="1:64" ht="16.5" customHeight="1" x14ac:dyDescent="0.2">
      <c r="A126" s="193"/>
      <c r="B126" s="194" t="str">
        <f>IF(VRAGENLIJST!$H$120&gt;0,Vertaling!A104,"")</f>
        <v/>
      </c>
      <c r="C126" s="190"/>
      <c r="D126" s="250"/>
      <c r="E126" s="423"/>
      <c r="F126" s="229" t="str">
        <f>IF(VRAGENLIJST!$H$120&gt;0,Vertaling!A32,"")</f>
        <v/>
      </c>
      <c r="G126" s="426"/>
      <c r="H126" s="243"/>
      <c r="I126" s="160"/>
      <c r="J126" s="37"/>
    </row>
    <row r="127" spans="1:64" ht="12.75" x14ac:dyDescent="0.2">
      <c r="A127" s="193"/>
      <c r="B127" s="194"/>
      <c r="F127" s="191"/>
      <c r="G127" s="435"/>
      <c r="H127" s="251"/>
      <c r="J127" s="37"/>
    </row>
    <row r="128" spans="1:64" ht="16.5" customHeight="1" x14ac:dyDescent="0.2">
      <c r="A128" s="193" t="str">
        <f>CONCATENATE(LEFT(A120,2)+1,".")</f>
        <v>20.</v>
      </c>
      <c r="B128" s="473" t="str">
        <f>Vertaling!A105</f>
        <v xml:space="preserve">Hoeveel geld heb je geleend en/of ga je lenen bij overige financieringsbronnen? </v>
      </c>
      <c r="C128" s="473"/>
      <c r="D128" s="473"/>
      <c r="E128" s="422"/>
      <c r="F128" s="210" t="str">
        <f>Vertaling!$A$34</f>
        <v>vul bedrag in:</v>
      </c>
      <c r="G128" s="403"/>
      <c r="H128" s="234"/>
      <c r="J128" s="37"/>
    </row>
    <row r="129" spans="1:10" ht="7.5" customHeight="1" x14ac:dyDescent="0.2">
      <c r="A129" s="193"/>
      <c r="B129" s="194"/>
      <c r="F129" s="210"/>
      <c r="G129" s="403"/>
      <c r="H129" s="252"/>
      <c r="J129" s="37"/>
    </row>
    <row r="130" spans="1:10" ht="16.5" customHeight="1" x14ac:dyDescent="0.25">
      <c r="A130" s="193"/>
      <c r="B130" s="473" t="str">
        <f>IF(VRAGENLIJST!$H$128&gt;0,Vertaling!A106,"")</f>
        <v/>
      </c>
      <c r="C130" s="473"/>
      <c r="D130" s="473"/>
      <c r="E130" s="422"/>
      <c r="F130" s="229" t="str">
        <f>IF(VRAGENLIJST!$H$128&gt;0,Vertaling!A34,"")</f>
        <v/>
      </c>
      <c r="G130" s="426"/>
      <c r="H130" s="234"/>
      <c r="I130" s="50"/>
    </row>
    <row r="131" spans="1:10" ht="7.5" customHeight="1" x14ac:dyDescent="0.25">
      <c r="A131" s="195"/>
      <c r="B131" s="194"/>
      <c r="C131" s="229"/>
      <c r="D131" s="247"/>
      <c r="E131" s="421"/>
      <c r="F131" s="210"/>
      <c r="G131" s="403"/>
      <c r="H131" s="235"/>
      <c r="I131" s="21"/>
    </row>
    <row r="132" spans="1:10" ht="16.5" customHeight="1" x14ac:dyDescent="0.25">
      <c r="A132" s="193"/>
      <c r="B132" s="473" t="str">
        <f>IF(VRAGENLIJST!$H$128&gt;0,Vertaling!A107,"")</f>
        <v/>
      </c>
      <c r="C132" s="473"/>
      <c r="D132" s="473"/>
      <c r="E132" s="422"/>
      <c r="F132" s="229" t="str">
        <f>IF(VRAGENLIJST!$H$128&gt;0,Vertaling!A34,"")</f>
        <v/>
      </c>
      <c r="G132" s="426"/>
      <c r="H132" s="234"/>
      <c r="I132" s="21"/>
    </row>
    <row r="133" spans="1:10" ht="7.5" customHeight="1" x14ac:dyDescent="0.25">
      <c r="A133" s="195"/>
      <c r="B133" s="194"/>
      <c r="C133" s="229"/>
      <c r="D133" s="247"/>
      <c r="E133" s="421"/>
      <c r="F133" s="210"/>
      <c r="G133" s="403"/>
      <c r="H133" s="235"/>
      <c r="I133" s="21"/>
    </row>
    <row r="134" spans="1:10" ht="15" customHeight="1" x14ac:dyDescent="0.2">
      <c r="A134" s="193"/>
      <c r="B134" s="194" t="str">
        <f>IF(VRAGENLIJST!$H$128&gt;0,Vertaling!A108,"")</f>
        <v/>
      </c>
      <c r="C134" s="190"/>
      <c r="D134" s="250"/>
      <c r="E134" s="423"/>
      <c r="F134" s="229" t="str">
        <f>IF(VRAGENLIJST!$H$128&gt;0,Vertaling!A32,"")</f>
        <v/>
      </c>
      <c r="G134" s="426"/>
      <c r="H134" s="243"/>
      <c r="I134" s="160"/>
      <c r="J134" s="37"/>
    </row>
    <row r="135" spans="1:10" x14ac:dyDescent="0.25">
      <c r="H135" s="251"/>
    </row>
    <row r="137" spans="1:10" x14ac:dyDescent="0.25">
      <c r="B137" s="196" t="str">
        <f>Vertaling!A109</f>
        <v>Maandelijkse indirecte kosten</v>
      </c>
      <c r="F137" s="215"/>
      <c r="G137" s="430"/>
    </row>
    <row r="138" spans="1:10" x14ac:dyDescent="0.25">
      <c r="A138" s="193" t="str">
        <f>CONCATENATE(LEFT(A128,2)+1,".")</f>
        <v>21.</v>
      </c>
      <c r="B138" s="194" t="str">
        <f>Vertaling!A110</f>
        <v>Hoe hoog zijn de maandelijkse kosten?</v>
      </c>
      <c r="F138" s="215"/>
      <c r="G138" s="430"/>
      <c r="H138" s="209" t="str">
        <f>Vertaling!$A$31</f>
        <v>Antwoord:</v>
      </c>
    </row>
    <row r="139" spans="1:10" ht="16.5" customHeight="1" x14ac:dyDescent="0.25">
      <c r="A139" s="195" t="s">
        <v>30</v>
      </c>
      <c r="B139" s="473" t="str">
        <f>Vertaling!A111</f>
        <v>Personeel (let op: bruto personeelslasten, dus inclusief premies en belastingen)</v>
      </c>
      <c r="C139" s="473"/>
      <c r="D139" s="473"/>
      <c r="E139" s="422"/>
      <c r="F139" s="210" t="str">
        <f>Vertaling!$A$34</f>
        <v>vul bedrag in:</v>
      </c>
      <c r="G139" s="403"/>
      <c r="H139" s="234"/>
    </row>
    <row r="140" spans="1:10" ht="7.5" customHeight="1" x14ac:dyDescent="0.25">
      <c r="A140" s="195"/>
      <c r="B140" s="194"/>
      <c r="C140" s="210"/>
      <c r="D140" s="235"/>
      <c r="E140" s="414"/>
      <c r="H140" s="209"/>
      <c r="I140" s="22"/>
    </row>
    <row r="141" spans="1:10" ht="16.5" customHeight="1" x14ac:dyDescent="0.25">
      <c r="A141" s="195"/>
      <c r="B141" s="194" t="str">
        <f>IF(VRAGENLIJST!$H$139&gt;0,Vertaling!A112,"")</f>
        <v/>
      </c>
      <c r="C141" s="190"/>
      <c r="D141" s="250"/>
      <c r="E141" s="423"/>
      <c r="F141" s="229" t="str">
        <f>IF(VRAGENLIJST!$H$139&gt;0,Vertaling!A32,"")</f>
        <v/>
      </c>
      <c r="G141" s="426"/>
      <c r="H141" s="243"/>
      <c r="I141" s="22"/>
    </row>
    <row r="142" spans="1:10" ht="7.5" customHeight="1" x14ac:dyDescent="0.25">
      <c r="B142" s="194"/>
      <c r="D142" s="217"/>
      <c r="E142" s="412"/>
      <c r="F142" s="229"/>
      <c r="G142" s="426"/>
      <c r="H142" s="251"/>
    </row>
    <row r="143" spans="1:10" ht="16.5" customHeight="1" x14ac:dyDescent="0.25">
      <c r="A143" s="195" t="s">
        <v>30</v>
      </c>
      <c r="B143" s="473" t="str">
        <f>Vertaling!A113</f>
        <v>Huisvesting (huur, schoonmaak, onderhoud)</v>
      </c>
      <c r="C143" s="473"/>
      <c r="D143" s="473"/>
      <c r="E143" s="422"/>
      <c r="F143" s="210" t="str">
        <f>Vertaling!$A$34</f>
        <v>vul bedrag in:</v>
      </c>
      <c r="G143" s="403"/>
      <c r="H143" s="234"/>
    </row>
    <row r="144" spans="1:10" ht="7.5" customHeight="1" x14ac:dyDescent="0.25">
      <c r="A144" s="195"/>
      <c r="B144" s="194"/>
      <c r="C144" s="210"/>
      <c r="D144" s="235"/>
      <c r="E144" s="414"/>
      <c r="F144" s="210"/>
      <c r="G144" s="403"/>
      <c r="H144" s="235"/>
      <c r="I144" s="22"/>
    </row>
    <row r="145" spans="1:9" ht="16.5" customHeight="1" x14ac:dyDescent="0.25">
      <c r="A145" s="195"/>
      <c r="B145" s="194" t="str">
        <f>IF(VRAGENLIJST!$H$143&gt;0,Vertaling!A114,"")</f>
        <v/>
      </c>
      <c r="C145" s="190"/>
      <c r="D145" s="250"/>
      <c r="E145" s="423"/>
      <c r="F145" s="229" t="str">
        <f>IF(VRAGENLIJST!$H$143&gt;0,Vertaling!A32,"")</f>
        <v/>
      </c>
      <c r="G145" s="426"/>
      <c r="H145" s="243"/>
      <c r="I145" s="22"/>
    </row>
    <row r="146" spans="1:9" ht="7.5" customHeight="1" x14ac:dyDescent="0.25">
      <c r="B146" s="194"/>
      <c r="F146" s="229"/>
      <c r="G146" s="426"/>
      <c r="H146" s="251"/>
    </row>
    <row r="147" spans="1:9" ht="16.5" customHeight="1" x14ac:dyDescent="0.25">
      <c r="A147" s="195" t="s">
        <v>30</v>
      </c>
      <c r="B147" s="473" t="str">
        <f>Vertaling!A115</f>
        <v>Vervoer/verblijf (brandstof, onderhoud, parkeren, verzekeringen)</v>
      </c>
      <c r="C147" s="473"/>
      <c r="D147" s="473"/>
      <c r="E147" s="422"/>
      <c r="F147" s="210" t="str">
        <f>Vertaling!$A$34</f>
        <v>vul bedrag in:</v>
      </c>
      <c r="G147" s="403"/>
      <c r="H147" s="234"/>
      <c r="I147" s="21"/>
    </row>
    <row r="148" spans="1:9" ht="7.5" customHeight="1" x14ac:dyDescent="0.25">
      <c r="B148" s="194"/>
      <c r="C148" s="229"/>
      <c r="D148" s="247"/>
      <c r="E148" s="421"/>
      <c r="F148" s="229"/>
      <c r="G148" s="426"/>
      <c r="H148" s="247"/>
      <c r="I148" s="21"/>
    </row>
    <row r="149" spans="1:9" ht="16.5" customHeight="1" x14ac:dyDescent="0.25">
      <c r="A149" s="195" t="s">
        <v>30</v>
      </c>
      <c r="B149" s="473" t="str">
        <f>Vertaling!A116</f>
        <v>Promotie/reclame (onderhoudskosten website, domeinnaam, Google Ads)</v>
      </c>
      <c r="C149" s="473"/>
      <c r="D149" s="473"/>
      <c r="E149" s="422"/>
      <c r="F149" s="210" t="str">
        <f>Vertaling!$A$34</f>
        <v>vul bedrag in:</v>
      </c>
      <c r="G149" s="403"/>
      <c r="H149" s="234"/>
      <c r="I149" s="21"/>
    </row>
    <row r="150" spans="1:9" ht="7.5" customHeight="1" x14ac:dyDescent="0.25">
      <c r="B150" s="194"/>
      <c r="F150" s="229"/>
      <c r="G150" s="426"/>
      <c r="H150" s="251"/>
    </row>
    <row r="151" spans="1:9" ht="16.5" customHeight="1" x14ac:dyDescent="0.25">
      <c r="A151" s="195" t="s">
        <v>30</v>
      </c>
      <c r="B151" s="473" t="str">
        <f>Vertaling!A118</f>
        <v>Verzekeringen (aansprakelijkheid, arbeidsongeschiktheid, inboedel)</v>
      </c>
      <c r="C151" s="473"/>
      <c r="D151" s="473"/>
      <c r="E151" s="422"/>
      <c r="F151" s="210" t="str">
        <f>Vertaling!$A$34</f>
        <v>vul bedrag in:</v>
      </c>
      <c r="G151" s="403"/>
      <c r="H151" s="234"/>
      <c r="I151" s="21"/>
    </row>
    <row r="152" spans="1:9" ht="7.5" customHeight="1" x14ac:dyDescent="0.25">
      <c r="B152" s="194"/>
      <c r="F152" s="229"/>
      <c r="G152" s="426"/>
      <c r="H152" s="247"/>
    </row>
    <row r="153" spans="1:9" ht="16.5" customHeight="1" x14ac:dyDescent="0.25">
      <c r="A153" s="195" t="s">
        <v>30</v>
      </c>
      <c r="B153" s="473" t="str">
        <f>Vertaling!A119</f>
        <v>Administratiekosten (accountant, adviseur, boekhoudpakket)</v>
      </c>
      <c r="C153" s="473"/>
      <c r="D153" s="473"/>
      <c r="E153" s="422"/>
      <c r="F153" s="210" t="str">
        <f>Vertaling!$A$34</f>
        <v>vul bedrag in:</v>
      </c>
      <c r="G153" s="403"/>
      <c r="H153" s="234"/>
      <c r="I153" s="21"/>
    </row>
    <row r="154" spans="1:9" ht="7.5" customHeight="1" x14ac:dyDescent="0.25">
      <c r="B154" s="194"/>
      <c r="F154" s="229"/>
      <c r="G154" s="426"/>
      <c r="H154" s="247"/>
    </row>
    <row r="155" spans="1:9" ht="16.5" customHeight="1" x14ac:dyDescent="0.25">
      <c r="A155" s="195" t="s">
        <v>30</v>
      </c>
      <c r="B155" s="473" t="str">
        <f>Vertaling!A120</f>
        <v>Abonnementen (telefoon, internet, vakbladen, brancheverenigingen, KVK, accountant, adviseur)</v>
      </c>
      <c r="C155" s="473"/>
      <c r="D155" s="473"/>
      <c r="E155" s="422"/>
      <c r="F155" s="210" t="str">
        <f>Vertaling!$A$34</f>
        <v>vul bedrag in:</v>
      </c>
      <c r="G155" s="403"/>
      <c r="H155" s="234"/>
      <c r="I155" s="21"/>
    </row>
    <row r="156" spans="1:9" ht="7.5" customHeight="1" x14ac:dyDescent="0.25">
      <c r="B156" s="194"/>
      <c r="F156" s="229"/>
      <c r="G156" s="426"/>
      <c r="H156" s="247"/>
    </row>
    <row r="157" spans="1:9" ht="16.5" customHeight="1" x14ac:dyDescent="0.25">
      <c r="A157" s="195" t="s">
        <v>30</v>
      </c>
      <c r="B157" s="473" t="str">
        <f>Vertaling!A121</f>
        <v>Kantoorartikelen (pennen, papier, cartridges)</v>
      </c>
      <c r="C157" s="473"/>
      <c r="D157" s="473"/>
      <c r="E157" s="422"/>
      <c r="F157" s="210" t="str">
        <f>Vertaling!$A$34</f>
        <v>vul bedrag in:</v>
      </c>
      <c r="G157" s="403"/>
      <c r="H157" s="234"/>
      <c r="I157" s="21"/>
    </row>
    <row r="158" spans="1:9" ht="7.5" customHeight="1" x14ac:dyDescent="0.25">
      <c r="B158" s="194"/>
      <c r="F158" s="229"/>
      <c r="G158" s="426"/>
      <c r="H158" s="247"/>
    </row>
    <row r="159" spans="1:9" ht="16.5" customHeight="1" x14ac:dyDescent="0.25">
      <c r="A159" s="195" t="s">
        <v>30</v>
      </c>
      <c r="B159" s="473" t="str">
        <f>Vertaling!A122</f>
        <v>Overig</v>
      </c>
      <c r="C159" s="473"/>
      <c r="D159" s="473"/>
      <c r="E159" s="422"/>
      <c r="F159" s="210" t="str">
        <f>Vertaling!$A$34</f>
        <v>vul bedrag in:</v>
      </c>
      <c r="G159" s="403"/>
      <c r="H159" s="234"/>
      <c r="I159" s="21"/>
    </row>
    <row r="160" spans="1:9" x14ac:dyDescent="0.25">
      <c r="F160" s="210"/>
      <c r="G160" s="403"/>
    </row>
    <row r="161" spans="1:67" x14ac:dyDescent="0.25">
      <c r="B161" s="196" t="str">
        <f>Vertaling!A123</f>
        <v>Maandelijkse directe kosten</v>
      </c>
      <c r="C161" s="215"/>
      <c r="D161" s="209" t="s">
        <v>31</v>
      </c>
      <c r="E161" s="401"/>
      <c r="F161" s="209" t="s">
        <v>32</v>
      </c>
      <c r="G161" s="401"/>
      <c r="H161" s="209" t="s">
        <v>1211</v>
      </c>
      <c r="I161" s="170"/>
    </row>
    <row r="162" spans="1:67" ht="16.5" customHeight="1" x14ac:dyDescent="0.25">
      <c r="A162" s="193" t="str">
        <f>CONCATENATE(LEFT(A138,2)+1,".")</f>
        <v>22.</v>
      </c>
      <c r="B162" s="197" t="str">
        <f>Vertaling!A124</f>
        <v>Koop je producten in die je, eventueel na bewerking, weer verkoopt?</v>
      </c>
      <c r="C162" s="210" t="str">
        <f>Vertaling!A32</f>
        <v>selecteer:</v>
      </c>
      <c r="D162" s="243"/>
      <c r="E162" s="419"/>
      <c r="F162" s="243"/>
      <c r="G162" s="419"/>
      <c r="H162" s="243"/>
      <c r="I162" s="170"/>
    </row>
    <row r="163" spans="1:67" ht="7.5" customHeight="1" x14ac:dyDescent="0.25">
      <c r="B163" s="194"/>
      <c r="C163" s="229"/>
      <c r="D163" s="247"/>
      <c r="E163" s="421"/>
      <c r="F163" s="229"/>
      <c r="G163" s="426"/>
      <c r="H163" s="247"/>
      <c r="I163" s="170"/>
    </row>
    <row r="164" spans="1:67" x14ac:dyDescent="0.25">
      <c r="B164" s="204"/>
      <c r="C164" s="474" t="str">
        <f>Vertaling!A125</f>
        <v>Als je meer dan drie producten verkoopt, probeer deze in drie groepen in te delen</v>
      </c>
      <c r="D164" s="474"/>
      <c r="E164" s="474"/>
      <c r="F164" s="474"/>
      <c r="G164" s="474"/>
      <c r="H164" s="474"/>
      <c r="I164" s="474"/>
    </row>
    <row r="165" spans="1:67" ht="7.5" customHeight="1" x14ac:dyDescent="0.25">
      <c r="B165" s="194"/>
      <c r="C165" s="229"/>
      <c r="D165" s="247"/>
      <c r="E165" s="421"/>
      <c r="F165" s="229"/>
      <c r="G165" s="426"/>
      <c r="H165" s="247"/>
      <c r="I165" s="170"/>
    </row>
    <row r="166" spans="1:67" ht="16.5" customHeight="1" x14ac:dyDescent="0.25">
      <c r="A166" s="193" t="str">
        <f>CONCATENATE(LEFT(A162,2)+1,".")</f>
        <v>23.</v>
      </c>
      <c r="B166" s="194" t="str">
        <f>IF(OR(VRAGENLIJST!$D$162=dropdowns!$B$24,VRAGENLIJST!$F$162=dropdowns!$B$24,VRAGENLIJST!$H$162=dropdowns!$B$24,VRAGENLIJST!$D$162=dropdowns!$C$24,VRAGENLIJST!$F$162=dropdowns!$C$24,VRAGENLIJST!$H$162=dropdowns!$C$24),Vertaling!A126,"")</f>
        <v/>
      </c>
      <c r="C166" s="210" t="str">
        <f>IF(OR(VRAGENLIJST!$D$162=dropdowns!$B$24,VRAGENLIJST!$F$162=dropdowns!$B$24,VRAGENLIJST!$H$162=dropdowns!$B$24,VRAGENLIJST!$D$162=dropdowns!$C$24,VRAGENLIJST!$F$162=dropdowns!$C$24,VRAGENLIJST!$H$162=dropdowns!$C$24),Vertaling!A36,"")</f>
        <v/>
      </c>
      <c r="D166" s="253"/>
      <c r="E166" s="424"/>
      <c r="F166" s="253"/>
      <c r="G166" s="403"/>
      <c r="H166" s="253"/>
      <c r="I166" s="170"/>
    </row>
    <row r="167" spans="1:67" ht="7.5" customHeight="1" x14ac:dyDescent="0.25">
      <c r="B167" s="194"/>
      <c r="C167" s="229"/>
      <c r="D167" s="247"/>
      <c r="E167" s="421"/>
      <c r="F167" s="426"/>
      <c r="G167" s="426"/>
      <c r="H167" s="426"/>
      <c r="I167" s="170"/>
    </row>
    <row r="168" spans="1:67" ht="16.5" customHeight="1" x14ac:dyDescent="0.25">
      <c r="A168" s="193" t="str">
        <f>CONCATENATE(LEFT(A166,2)+1,".")</f>
        <v>24.</v>
      </c>
      <c r="B168" s="194" t="str">
        <f>IF(OR(VRAGENLIJST!$D$162=dropdowns!$B$24,VRAGENLIJST!$F$162=dropdowns!$B$24,VRAGENLIJST!$H$162=dropdowns!$B$24,VRAGENLIJST!$D$162=dropdowns!$C$24,VRAGENLIJST!$F$162=dropdowns!$C$24,VRAGENLIJST!$H$162=dropdowns!$C$24),Vertaling!A127,"")</f>
        <v/>
      </c>
      <c r="C168" s="210" t="str">
        <f>IF(OR(VRAGENLIJST!$D$162=dropdowns!$B$24,VRAGENLIJST!$F$162=dropdowns!$B$24,VRAGENLIJST!$H$162=dropdowns!$B$24,VRAGENLIJST!$D$162=dropdowns!$C$24,VRAGENLIJST!$F$162=dropdowns!$C$24,VRAGENLIJST!$H$162=dropdowns!$C$24),Vertaling!A32,"")</f>
        <v/>
      </c>
      <c r="D168" s="253"/>
      <c r="E168" s="424"/>
      <c r="F168" s="253"/>
      <c r="G168" s="403"/>
      <c r="H168" s="253"/>
      <c r="I168" s="170"/>
    </row>
    <row r="169" spans="1:67" ht="7.5" customHeight="1" x14ac:dyDescent="0.25">
      <c r="B169" s="194"/>
      <c r="C169" s="229"/>
      <c r="D169" s="247"/>
      <c r="E169" s="421"/>
      <c r="F169" s="426"/>
      <c r="G169" s="426"/>
      <c r="H169" s="426"/>
      <c r="I169" s="170"/>
    </row>
    <row r="170" spans="1:67" ht="16.5" customHeight="1" x14ac:dyDescent="0.25">
      <c r="A170" s="193" t="str">
        <f>CONCATENATE(LEFT(A168,2)+1,".")</f>
        <v>25.</v>
      </c>
      <c r="B170" s="194" t="str">
        <f>IF(OR(VRAGENLIJST!$D$162=dropdowns!$B$24,VRAGENLIJST!$F$162=dropdowns!$B$24,VRAGENLIJST!$H$162=dropdowns!$B$24,VRAGENLIJST!$D$162=dropdowns!$C$24,VRAGENLIJST!$F$162=dropdowns!$C$24,VRAGENLIJST!$H$162=dropdowns!$C$24),Vertaling!A128,"")</f>
        <v/>
      </c>
      <c r="C170" s="210" t="str">
        <f>IF(OR(VRAGENLIJST!$D$162=dropdowns!$B$24,VRAGENLIJST!$F$162=dropdowns!$B$24,VRAGENLIJST!$H$162=dropdowns!$B$24,VRAGENLIJST!$D$162=dropdowns!$C$24,VRAGENLIJST!$F$162=dropdowns!$C$24,VRAGENLIJST!$H$162=dropdowns!$C$24),Vertaling!A32,"")</f>
        <v/>
      </c>
      <c r="D170" s="253"/>
      <c r="E170" s="424"/>
      <c r="F170" s="253"/>
      <c r="G170" s="403"/>
      <c r="H170" s="253"/>
      <c r="I170" s="170"/>
    </row>
    <row r="171" spans="1:67" ht="16.5" hidden="1" customHeight="1" x14ac:dyDescent="0.25">
      <c r="B171" s="194"/>
    </row>
    <row r="172" spans="1:67" hidden="1" x14ac:dyDescent="0.25">
      <c r="B172" s="196" t="str">
        <f>Vertaling!A124</f>
        <v>Koop je producten in die je, eventueel na bewerking, weer verkoopt?</v>
      </c>
      <c r="F172" s="215"/>
      <c r="G172" s="430"/>
    </row>
    <row r="173" spans="1:67" ht="15.75" hidden="1" customHeight="1" thickBot="1" x14ac:dyDescent="0.3">
      <c r="A173" s="193" t="str">
        <f>CONCATENATE(LEFT(A170,2)+1,".")</f>
        <v>26.</v>
      </c>
      <c r="B173" s="194" t="s">
        <v>35</v>
      </c>
      <c r="C173" s="216"/>
      <c r="D173" s="209" t="s">
        <v>36</v>
      </c>
      <c r="E173" s="401"/>
      <c r="F173" s="209" t="s">
        <v>36</v>
      </c>
      <c r="H173" s="209" t="s">
        <v>36</v>
      </c>
      <c r="I173" s="21"/>
      <c r="K173" s="32"/>
    </row>
    <row r="174" spans="1:67" s="24" customFormat="1" ht="16.5" hidden="1" thickTop="1" thickBot="1" x14ac:dyDescent="0.3">
      <c r="A174" s="187" t="s">
        <v>30</v>
      </c>
      <c r="B174" s="194" t="s">
        <v>37</v>
      </c>
      <c r="C174" s="210" t="s">
        <v>38</v>
      </c>
      <c r="D174" s="254">
        <f>D255*$D$166</f>
        <v>0</v>
      </c>
      <c r="E174" s="419"/>
      <c r="F174" s="254">
        <f>F255*$F$166</f>
        <v>0</v>
      </c>
      <c r="G174" s="23"/>
      <c r="H174" s="254">
        <f>H255*$H$166</f>
        <v>0</v>
      </c>
      <c r="I174" s="23"/>
      <c r="J174" s="33"/>
      <c r="K174" s="33"/>
      <c r="L174" s="33"/>
      <c r="M174" s="33"/>
      <c r="N174" s="33"/>
      <c r="O174" s="33"/>
      <c r="P174" s="33"/>
      <c r="Q174" s="33"/>
      <c r="R174" s="33"/>
      <c r="S174" s="33"/>
      <c r="T174" s="33"/>
      <c r="U174" s="33"/>
      <c r="V174" s="33"/>
      <c r="W174" s="33"/>
      <c r="X174" s="33"/>
      <c r="Y174" s="33"/>
      <c r="Z174" s="33"/>
      <c r="AA174" s="33"/>
      <c r="AB174" s="33"/>
      <c r="AC174" s="33"/>
      <c r="AD174" s="33"/>
      <c r="AE174" s="33"/>
      <c r="AF174" s="33"/>
      <c r="AG174" s="33"/>
      <c r="AH174" s="33"/>
      <c r="AI174" s="33"/>
      <c r="AJ174" s="33"/>
      <c r="AK174" s="33"/>
      <c r="AL174" s="33"/>
      <c r="AM174" s="34"/>
      <c r="AN174" s="34"/>
      <c r="AO174" s="34"/>
      <c r="AP174" s="34"/>
      <c r="AQ174" s="34"/>
      <c r="AR174" s="34"/>
      <c r="AS174" s="34"/>
      <c r="AT174" s="34"/>
      <c r="AU174" s="34"/>
      <c r="AV174" s="34"/>
      <c r="AW174" s="34"/>
      <c r="AX174" s="34"/>
      <c r="AY174" s="34"/>
      <c r="AZ174" s="34"/>
      <c r="BA174" s="34"/>
      <c r="BB174" s="34"/>
      <c r="BC174" s="34"/>
      <c r="BD174" s="34"/>
      <c r="BE174" s="34"/>
      <c r="BF174" s="34"/>
      <c r="BG174" s="34"/>
      <c r="BH174" s="34"/>
      <c r="BI174" s="34"/>
      <c r="BJ174" s="34"/>
      <c r="BK174" s="34"/>
      <c r="BL174" s="34"/>
      <c r="BM174" s="23"/>
      <c r="BN174" s="23"/>
      <c r="BO174" s="23"/>
    </row>
    <row r="175" spans="1:67" ht="7.5" hidden="1" customHeight="1" thickTop="1" thickBot="1" x14ac:dyDescent="0.3">
      <c r="A175" s="195"/>
      <c r="B175" s="194"/>
      <c r="C175" s="210"/>
      <c r="D175" s="235"/>
      <c r="E175" s="414"/>
      <c r="F175" s="235"/>
      <c r="G175" s="21"/>
      <c r="H175" s="235"/>
      <c r="I175" s="21"/>
    </row>
    <row r="176" spans="1:67" s="24" customFormat="1" ht="16.5" hidden="1" thickTop="1" thickBot="1" x14ac:dyDescent="0.3">
      <c r="A176" s="187" t="s">
        <v>30</v>
      </c>
      <c r="B176" s="194" t="s">
        <v>39</v>
      </c>
      <c r="C176" s="210" t="s">
        <v>38</v>
      </c>
      <c r="D176" s="254">
        <f>D257*$D$166</f>
        <v>0</v>
      </c>
      <c r="E176" s="419"/>
      <c r="F176" s="254">
        <f>F257*$F$166</f>
        <v>0</v>
      </c>
      <c r="G176" s="23"/>
      <c r="H176" s="254">
        <f>H257*$H$166</f>
        <v>0</v>
      </c>
      <c r="I176" s="23"/>
      <c r="J176" s="33"/>
      <c r="K176" s="33"/>
      <c r="L176" s="33"/>
      <c r="M176" s="33"/>
      <c r="N176" s="33"/>
      <c r="O176" s="33"/>
      <c r="P176" s="33"/>
      <c r="Q176" s="33"/>
      <c r="R176" s="33"/>
      <c r="S176" s="33"/>
      <c r="T176" s="33"/>
      <c r="U176" s="33"/>
      <c r="V176" s="33"/>
      <c r="W176" s="33"/>
      <c r="X176" s="33"/>
      <c r="Y176" s="33"/>
      <c r="Z176" s="33"/>
      <c r="AA176" s="33"/>
      <c r="AB176" s="33"/>
      <c r="AC176" s="33"/>
      <c r="AD176" s="33"/>
      <c r="AE176" s="33"/>
      <c r="AF176" s="33"/>
      <c r="AG176" s="33"/>
      <c r="AH176" s="33"/>
      <c r="AI176" s="33"/>
      <c r="AJ176" s="33"/>
      <c r="AK176" s="33"/>
      <c r="AL176" s="33"/>
      <c r="AM176" s="34"/>
      <c r="AN176" s="34"/>
      <c r="AO176" s="34"/>
      <c r="AP176" s="34"/>
      <c r="AQ176" s="34"/>
      <c r="AR176" s="34"/>
      <c r="AS176" s="34"/>
      <c r="AT176" s="34"/>
      <c r="AU176" s="34"/>
      <c r="AV176" s="34"/>
      <c r="AW176" s="34"/>
      <c r="AX176" s="34"/>
      <c r="AY176" s="34"/>
      <c r="AZ176" s="34"/>
      <c r="BA176" s="34"/>
      <c r="BB176" s="34"/>
      <c r="BC176" s="34"/>
      <c r="BD176" s="34"/>
      <c r="BE176" s="34"/>
      <c r="BF176" s="34"/>
      <c r="BG176" s="34"/>
      <c r="BH176" s="34"/>
      <c r="BI176" s="34"/>
      <c r="BJ176" s="34"/>
      <c r="BK176" s="34"/>
      <c r="BL176" s="34"/>
      <c r="BM176" s="23"/>
      <c r="BN176" s="23"/>
      <c r="BO176" s="23"/>
    </row>
    <row r="177" spans="1:67" ht="7.5" hidden="1" customHeight="1" thickTop="1" thickBot="1" x14ac:dyDescent="0.3">
      <c r="A177" s="195"/>
      <c r="B177" s="194"/>
      <c r="C177" s="210"/>
      <c r="D177" s="235"/>
      <c r="E177" s="414"/>
      <c r="F177" s="235"/>
      <c r="G177" s="21"/>
      <c r="H177" s="235"/>
      <c r="I177" s="21"/>
    </row>
    <row r="178" spans="1:67" s="24" customFormat="1" ht="16.5" hidden="1" thickTop="1" thickBot="1" x14ac:dyDescent="0.3">
      <c r="A178" s="193" t="s">
        <v>30</v>
      </c>
      <c r="B178" s="194" t="s">
        <v>40</v>
      </c>
      <c r="C178" s="210" t="s">
        <v>38</v>
      </c>
      <c r="D178" s="254">
        <f>D259*$D$166</f>
        <v>0</v>
      </c>
      <c r="E178" s="419"/>
      <c r="F178" s="254">
        <f>F259*$F$166</f>
        <v>0</v>
      </c>
      <c r="G178" s="23"/>
      <c r="H178" s="254">
        <f>H259*$H$166</f>
        <v>0</v>
      </c>
      <c r="I178" s="23"/>
      <c r="J178" s="33"/>
      <c r="K178" s="33"/>
      <c r="L178" s="33"/>
      <c r="M178" s="33"/>
      <c r="N178" s="33"/>
      <c r="O178" s="33"/>
      <c r="P178" s="33"/>
      <c r="Q178" s="33"/>
      <c r="R178" s="33"/>
      <c r="S178" s="33"/>
      <c r="T178" s="33"/>
      <c r="U178" s="33"/>
      <c r="V178" s="33"/>
      <c r="W178" s="33"/>
      <c r="X178" s="33"/>
      <c r="Y178" s="33"/>
      <c r="Z178" s="33"/>
      <c r="AA178" s="33"/>
      <c r="AB178" s="33"/>
      <c r="AC178" s="33"/>
      <c r="AD178" s="33"/>
      <c r="AE178" s="33"/>
      <c r="AF178" s="33"/>
      <c r="AG178" s="33"/>
      <c r="AH178" s="33"/>
      <c r="AI178" s="33"/>
      <c r="AJ178" s="33"/>
      <c r="AK178" s="33"/>
      <c r="AL178" s="33"/>
      <c r="AM178" s="34"/>
      <c r="AN178" s="34"/>
      <c r="AO178" s="34"/>
      <c r="AP178" s="34"/>
      <c r="AQ178" s="34"/>
      <c r="AR178" s="34"/>
      <c r="AS178" s="34"/>
      <c r="AT178" s="34"/>
      <c r="AU178" s="34"/>
      <c r="AV178" s="34"/>
      <c r="AW178" s="34"/>
      <c r="AX178" s="34"/>
      <c r="AY178" s="34"/>
      <c r="AZ178" s="34"/>
      <c r="BA178" s="34"/>
      <c r="BB178" s="34"/>
      <c r="BC178" s="34"/>
      <c r="BD178" s="34"/>
      <c r="BE178" s="34"/>
      <c r="BF178" s="34"/>
      <c r="BG178" s="34"/>
      <c r="BH178" s="34"/>
      <c r="BI178" s="34"/>
      <c r="BJ178" s="34"/>
      <c r="BK178" s="34"/>
      <c r="BL178" s="34"/>
      <c r="BM178" s="23"/>
      <c r="BN178" s="23"/>
      <c r="BO178" s="23"/>
    </row>
    <row r="179" spans="1:67" ht="7.5" hidden="1" customHeight="1" thickTop="1" thickBot="1" x14ac:dyDescent="0.3">
      <c r="A179" s="195"/>
      <c r="B179" s="194"/>
      <c r="C179" s="210"/>
      <c r="D179" s="235"/>
      <c r="E179" s="414"/>
      <c r="F179" s="235"/>
      <c r="G179" s="21"/>
      <c r="H179" s="235"/>
      <c r="I179" s="21"/>
    </row>
    <row r="180" spans="1:67" s="24" customFormat="1" ht="16.5" hidden="1" thickTop="1" thickBot="1" x14ac:dyDescent="0.3">
      <c r="A180" s="193" t="s">
        <v>30</v>
      </c>
      <c r="B180" s="194" t="s">
        <v>41</v>
      </c>
      <c r="C180" s="210" t="s">
        <v>38</v>
      </c>
      <c r="D180" s="254">
        <f>D261*$D$166</f>
        <v>0</v>
      </c>
      <c r="E180" s="419"/>
      <c r="F180" s="254">
        <f>F261*$F$166</f>
        <v>0</v>
      </c>
      <c r="G180" s="23"/>
      <c r="H180" s="254">
        <f>H261*$H$166</f>
        <v>0</v>
      </c>
      <c r="I180" s="23"/>
      <c r="J180" s="33"/>
      <c r="K180" s="33"/>
      <c r="L180" s="33"/>
      <c r="M180" s="33"/>
      <c r="N180" s="33"/>
      <c r="O180" s="33"/>
      <c r="P180" s="33"/>
      <c r="Q180" s="33"/>
      <c r="R180" s="33"/>
      <c r="S180" s="33"/>
      <c r="T180" s="33"/>
      <c r="U180" s="33"/>
      <c r="V180" s="33"/>
      <c r="W180" s="33"/>
      <c r="X180" s="33"/>
      <c r="Y180" s="33"/>
      <c r="Z180" s="33"/>
      <c r="AA180" s="33"/>
      <c r="AB180" s="33"/>
      <c r="AC180" s="33"/>
      <c r="AD180" s="33"/>
      <c r="AE180" s="33"/>
      <c r="AF180" s="33"/>
      <c r="AG180" s="33"/>
      <c r="AH180" s="33"/>
      <c r="AI180" s="33"/>
      <c r="AJ180" s="33"/>
      <c r="AK180" s="33"/>
      <c r="AL180" s="33"/>
      <c r="AM180" s="34"/>
      <c r="AN180" s="34"/>
      <c r="AO180" s="34"/>
      <c r="AP180" s="34"/>
      <c r="AQ180" s="34"/>
      <c r="AR180" s="34"/>
      <c r="AS180" s="34"/>
      <c r="AT180" s="34"/>
      <c r="AU180" s="34"/>
      <c r="AV180" s="34"/>
      <c r="AW180" s="34"/>
      <c r="AX180" s="34"/>
      <c r="AY180" s="34"/>
      <c r="AZ180" s="34"/>
      <c r="BA180" s="34"/>
      <c r="BB180" s="34"/>
      <c r="BC180" s="34"/>
      <c r="BD180" s="34"/>
      <c r="BE180" s="34"/>
      <c r="BF180" s="34"/>
      <c r="BG180" s="34"/>
      <c r="BH180" s="34"/>
      <c r="BI180" s="34"/>
      <c r="BJ180" s="34"/>
      <c r="BK180" s="34"/>
      <c r="BL180" s="34"/>
      <c r="BM180" s="23"/>
      <c r="BN180" s="23"/>
      <c r="BO180" s="23"/>
    </row>
    <row r="181" spans="1:67" ht="7.5" hidden="1" customHeight="1" thickTop="1" thickBot="1" x14ac:dyDescent="0.3">
      <c r="A181" s="195"/>
      <c r="B181" s="194"/>
      <c r="C181" s="210"/>
      <c r="D181" s="235"/>
      <c r="E181" s="414"/>
      <c r="F181" s="235"/>
      <c r="G181" s="21"/>
      <c r="H181" s="235"/>
      <c r="I181" s="21"/>
    </row>
    <row r="182" spans="1:67" s="24" customFormat="1" ht="16.5" hidden="1" thickTop="1" thickBot="1" x14ac:dyDescent="0.3">
      <c r="A182" s="193" t="s">
        <v>30</v>
      </c>
      <c r="B182" s="194" t="s">
        <v>42</v>
      </c>
      <c r="C182" s="210" t="s">
        <v>38</v>
      </c>
      <c r="D182" s="254">
        <f>D263*$D$166</f>
        <v>0</v>
      </c>
      <c r="E182" s="419"/>
      <c r="F182" s="254">
        <f>F263*$F$166</f>
        <v>0</v>
      </c>
      <c r="G182" s="23"/>
      <c r="H182" s="254">
        <f>H263*$H$166</f>
        <v>0</v>
      </c>
      <c r="I182" s="23"/>
      <c r="J182" s="33"/>
      <c r="K182" s="33"/>
      <c r="L182" s="33"/>
      <c r="M182" s="33"/>
      <c r="N182" s="33"/>
      <c r="O182" s="33"/>
      <c r="P182" s="33"/>
      <c r="Q182" s="33"/>
      <c r="R182" s="33"/>
      <c r="S182" s="33"/>
      <c r="T182" s="33"/>
      <c r="U182" s="33"/>
      <c r="V182" s="33"/>
      <c r="W182" s="33"/>
      <c r="X182" s="33"/>
      <c r="Y182" s="33"/>
      <c r="Z182" s="33"/>
      <c r="AA182" s="33"/>
      <c r="AB182" s="33"/>
      <c r="AC182" s="33"/>
      <c r="AD182" s="33"/>
      <c r="AE182" s="33"/>
      <c r="AF182" s="33"/>
      <c r="AG182" s="33"/>
      <c r="AH182" s="33"/>
      <c r="AI182" s="33"/>
      <c r="AJ182" s="33"/>
      <c r="AK182" s="33"/>
      <c r="AL182" s="33"/>
      <c r="AM182" s="34"/>
      <c r="AN182" s="34"/>
      <c r="AO182" s="34"/>
      <c r="AP182" s="34"/>
      <c r="AQ182" s="34"/>
      <c r="AR182" s="34"/>
      <c r="AS182" s="34"/>
      <c r="AT182" s="34"/>
      <c r="AU182" s="34"/>
      <c r="AV182" s="34"/>
      <c r="AW182" s="34"/>
      <c r="AX182" s="34"/>
      <c r="AY182" s="34"/>
      <c r="AZ182" s="34"/>
      <c r="BA182" s="34"/>
      <c r="BB182" s="34"/>
      <c r="BC182" s="34"/>
      <c r="BD182" s="34"/>
      <c r="BE182" s="34"/>
      <c r="BF182" s="34"/>
      <c r="BG182" s="34"/>
      <c r="BH182" s="34"/>
      <c r="BI182" s="34"/>
      <c r="BJ182" s="34"/>
      <c r="BK182" s="34"/>
      <c r="BL182" s="34"/>
      <c r="BM182" s="23"/>
      <c r="BN182" s="23"/>
      <c r="BO182" s="23"/>
    </row>
    <row r="183" spans="1:67" ht="7.5" hidden="1" customHeight="1" thickTop="1" thickBot="1" x14ac:dyDescent="0.3">
      <c r="A183" s="195"/>
      <c r="B183" s="194"/>
      <c r="C183" s="210"/>
      <c r="D183" s="235"/>
      <c r="E183" s="414"/>
      <c r="F183" s="235"/>
      <c r="G183" s="21"/>
      <c r="H183" s="235"/>
      <c r="I183" s="21"/>
    </row>
    <row r="184" spans="1:67" s="24" customFormat="1" ht="16.5" hidden="1" thickTop="1" thickBot="1" x14ac:dyDescent="0.3">
      <c r="A184" s="193" t="s">
        <v>30</v>
      </c>
      <c r="B184" s="194" t="s">
        <v>43</v>
      </c>
      <c r="C184" s="210" t="s">
        <v>38</v>
      </c>
      <c r="D184" s="254">
        <f>D265*$D$166</f>
        <v>0</v>
      </c>
      <c r="E184" s="419"/>
      <c r="F184" s="254">
        <f>F265*$F$166</f>
        <v>0</v>
      </c>
      <c r="G184" s="23"/>
      <c r="H184" s="254">
        <f>H265*$H$166</f>
        <v>0</v>
      </c>
      <c r="I184" s="23"/>
      <c r="J184" s="33"/>
      <c r="K184" s="33"/>
      <c r="L184" s="33"/>
      <c r="M184" s="33"/>
      <c r="N184" s="33"/>
      <c r="O184" s="33"/>
      <c r="P184" s="33"/>
      <c r="Q184" s="33"/>
      <c r="R184" s="33"/>
      <c r="S184" s="33"/>
      <c r="T184" s="33"/>
      <c r="U184" s="33"/>
      <c r="V184" s="33"/>
      <c r="W184" s="33"/>
      <c r="X184" s="33"/>
      <c r="Y184" s="33"/>
      <c r="Z184" s="33"/>
      <c r="AA184" s="33"/>
      <c r="AB184" s="33"/>
      <c r="AC184" s="33"/>
      <c r="AD184" s="33"/>
      <c r="AE184" s="33"/>
      <c r="AF184" s="33"/>
      <c r="AG184" s="33"/>
      <c r="AH184" s="33"/>
      <c r="AI184" s="33"/>
      <c r="AJ184" s="33"/>
      <c r="AK184" s="33"/>
      <c r="AL184" s="33"/>
      <c r="AM184" s="34"/>
      <c r="AN184" s="34"/>
      <c r="AO184" s="34"/>
      <c r="AP184" s="34"/>
      <c r="AQ184" s="34"/>
      <c r="AR184" s="34"/>
      <c r="AS184" s="34"/>
      <c r="AT184" s="34"/>
      <c r="AU184" s="34"/>
      <c r="AV184" s="34"/>
      <c r="AW184" s="34"/>
      <c r="AX184" s="34"/>
      <c r="AY184" s="34"/>
      <c r="AZ184" s="34"/>
      <c r="BA184" s="34"/>
      <c r="BB184" s="34"/>
      <c r="BC184" s="34"/>
      <c r="BD184" s="34"/>
      <c r="BE184" s="34"/>
      <c r="BF184" s="34"/>
      <c r="BG184" s="34"/>
      <c r="BH184" s="34"/>
      <c r="BI184" s="34"/>
      <c r="BJ184" s="34"/>
      <c r="BK184" s="34"/>
      <c r="BL184" s="34"/>
      <c r="BM184" s="23"/>
      <c r="BN184" s="23"/>
      <c r="BO184" s="23"/>
    </row>
    <row r="185" spans="1:67" ht="7.5" hidden="1" customHeight="1" thickTop="1" thickBot="1" x14ac:dyDescent="0.3">
      <c r="A185" s="195"/>
      <c r="B185" s="194"/>
      <c r="C185" s="210"/>
      <c r="D185" s="235"/>
      <c r="E185" s="414"/>
      <c r="F185" s="235"/>
      <c r="G185" s="21"/>
      <c r="H185" s="235"/>
      <c r="I185" s="21"/>
    </row>
    <row r="186" spans="1:67" s="24" customFormat="1" ht="16.5" hidden="1" thickTop="1" thickBot="1" x14ac:dyDescent="0.3">
      <c r="A186" s="193" t="s">
        <v>30</v>
      </c>
      <c r="B186" s="194" t="s">
        <v>44</v>
      </c>
      <c r="C186" s="210" t="s">
        <v>38</v>
      </c>
      <c r="D186" s="254">
        <f>D267*$D$166</f>
        <v>0</v>
      </c>
      <c r="E186" s="419"/>
      <c r="F186" s="254">
        <f>F267*$F$166</f>
        <v>0</v>
      </c>
      <c r="G186" s="23"/>
      <c r="H186" s="254">
        <f>H267*$H$166</f>
        <v>0</v>
      </c>
      <c r="I186" s="23"/>
      <c r="J186" s="33"/>
      <c r="K186" s="33"/>
      <c r="L186" s="33"/>
      <c r="M186" s="33"/>
      <c r="N186" s="33"/>
      <c r="O186" s="33"/>
      <c r="P186" s="33"/>
      <c r="Q186" s="33"/>
      <c r="R186" s="33"/>
      <c r="S186" s="33"/>
      <c r="T186" s="33"/>
      <c r="U186" s="33"/>
      <c r="V186" s="33"/>
      <c r="W186" s="33"/>
      <c r="X186" s="33"/>
      <c r="Y186" s="33"/>
      <c r="Z186" s="33"/>
      <c r="AA186" s="33"/>
      <c r="AB186" s="33"/>
      <c r="AC186" s="33"/>
      <c r="AD186" s="33"/>
      <c r="AE186" s="33"/>
      <c r="AF186" s="33"/>
      <c r="AG186" s="33"/>
      <c r="AH186" s="33"/>
      <c r="AI186" s="33"/>
      <c r="AJ186" s="33"/>
      <c r="AK186" s="33"/>
      <c r="AL186" s="33"/>
      <c r="AM186" s="34"/>
      <c r="AN186" s="34"/>
      <c r="AO186" s="34"/>
      <c r="AP186" s="34"/>
      <c r="AQ186" s="34"/>
      <c r="AR186" s="34"/>
      <c r="AS186" s="34"/>
      <c r="AT186" s="34"/>
      <c r="AU186" s="34"/>
      <c r="AV186" s="34"/>
      <c r="AW186" s="34"/>
      <c r="AX186" s="34"/>
      <c r="AY186" s="34"/>
      <c r="AZ186" s="34"/>
      <c r="BA186" s="34"/>
      <c r="BB186" s="34"/>
      <c r="BC186" s="34"/>
      <c r="BD186" s="34"/>
      <c r="BE186" s="34"/>
      <c r="BF186" s="34"/>
      <c r="BG186" s="34"/>
      <c r="BH186" s="34"/>
      <c r="BI186" s="34"/>
      <c r="BJ186" s="34"/>
      <c r="BK186" s="34"/>
      <c r="BL186" s="34"/>
      <c r="BM186" s="23"/>
      <c r="BN186" s="23"/>
      <c r="BO186" s="23"/>
    </row>
    <row r="187" spans="1:67" ht="7.5" hidden="1" customHeight="1" thickTop="1" thickBot="1" x14ac:dyDescent="0.3">
      <c r="A187" s="195"/>
      <c r="B187" s="194"/>
      <c r="C187" s="210"/>
      <c r="D187" s="235"/>
      <c r="E187" s="414"/>
      <c r="F187" s="235"/>
      <c r="G187" s="21"/>
      <c r="H187" s="235"/>
      <c r="I187" s="21"/>
    </row>
    <row r="188" spans="1:67" s="24" customFormat="1" ht="16.5" hidden="1" thickTop="1" thickBot="1" x14ac:dyDescent="0.3">
      <c r="A188" s="193" t="s">
        <v>30</v>
      </c>
      <c r="B188" s="194" t="s">
        <v>45</v>
      </c>
      <c r="C188" s="210" t="s">
        <v>38</v>
      </c>
      <c r="D188" s="254">
        <f>D269*$D$166</f>
        <v>0</v>
      </c>
      <c r="E188" s="419"/>
      <c r="F188" s="254">
        <f>F269*$F$166</f>
        <v>0</v>
      </c>
      <c r="G188" s="23"/>
      <c r="H188" s="254">
        <f>H269*$H$166</f>
        <v>0</v>
      </c>
      <c r="I188" s="23"/>
      <c r="J188" s="33"/>
      <c r="K188" s="33"/>
      <c r="L188" s="33"/>
      <c r="M188" s="33"/>
      <c r="N188" s="33"/>
      <c r="O188" s="33"/>
      <c r="P188" s="33"/>
      <c r="Q188" s="33"/>
      <c r="R188" s="33"/>
      <c r="S188" s="33"/>
      <c r="T188" s="33"/>
      <c r="U188" s="33"/>
      <c r="V188" s="33"/>
      <c r="W188" s="33"/>
      <c r="X188" s="33"/>
      <c r="Y188" s="33"/>
      <c r="Z188" s="33"/>
      <c r="AA188" s="33"/>
      <c r="AB188" s="33"/>
      <c r="AC188" s="33"/>
      <c r="AD188" s="33"/>
      <c r="AE188" s="33"/>
      <c r="AF188" s="33"/>
      <c r="AG188" s="33"/>
      <c r="AH188" s="33"/>
      <c r="AI188" s="33"/>
      <c r="AJ188" s="33"/>
      <c r="AK188" s="33"/>
      <c r="AL188" s="33"/>
      <c r="AM188" s="34"/>
      <c r="AN188" s="34"/>
      <c r="AO188" s="34"/>
      <c r="AP188" s="34"/>
      <c r="AQ188" s="34"/>
      <c r="AR188" s="34"/>
      <c r="AS188" s="34"/>
      <c r="AT188" s="34"/>
      <c r="AU188" s="34"/>
      <c r="AV188" s="34"/>
      <c r="AW188" s="34"/>
      <c r="AX188" s="34"/>
      <c r="AY188" s="34"/>
      <c r="AZ188" s="34"/>
      <c r="BA188" s="34"/>
      <c r="BB188" s="34"/>
      <c r="BC188" s="34"/>
      <c r="BD188" s="34"/>
      <c r="BE188" s="34"/>
      <c r="BF188" s="34"/>
      <c r="BG188" s="34"/>
      <c r="BH188" s="34"/>
      <c r="BI188" s="34"/>
      <c r="BJ188" s="34"/>
      <c r="BK188" s="34"/>
      <c r="BL188" s="34"/>
      <c r="BM188" s="23"/>
      <c r="BN188" s="23"/>
      <c r="BO188" s="23"/>
    </row>
    <row r="189" spans="1:67" ht="7.5" hidden="1" customHeight="1" thickTop="1" thickBot="1" x14ac:dyDescent="0.3">
      <c r="A189" s="195"/>
      <c r="B189" s="194"/>
      <c r="C189" s="210"/>
      <c r="D189" s="235"/>
      <c r="E189" s="414"/>
      <c r="F189" s="235"/>
      <c r="G189" s="21"/>
      <c r="H189" s="235"/>
      <c r="I189" s="21"/>
    </row>
    <row r="190" spans="1:67" s="24" customFormat="1" ht="16.5" hidden="1" thickTop="1" thickBot="1" x14ac:dyDescent="0.3">
      <c r="A190" s="193" t="s">
        <v>30</v>
      </c>
      <c r="B190" s="194" t="s">
        <v>46</v>
      </c>
      <c r="C190" s="210" t="s">
        <v>38</v>
      </c>
      <c r="D190" s="254">
        <f>D271*$D$166</f>
        <v>0</v>
      </c>
      <c r="E190" s="419"/>
      <c r="F190" s="254">
        <f>F271*$F$166</f>
        <v>0</v>
      </c>
      <c r="G190" s="23"/>
      <c r="H190" s="254">
        <f>H271*$H$166</f>
        <v>0</v>
      </c>
      <c r="I190" s="23"/>
      <c r="J190" s="33"/>
      <c r="K190" s="33"/>
      <c r="L190" s="33"/>
      <c r="M190" s="33"/>
      <c r="N190" s="33"/>
      <c r="O190" s="33"/>
      <c r="P190" s="33"/>
      <c r="Q190" s="33"/>
      <c r="R190" s="33"/>
      <c r="S190" s="33"/>
      <c r="T190" s="33"/>
      <c r="U190" s="33"/>
      <c r="V190" s="33"/>
      <c r="W190" s="33"/>
      <c r="X190" s="33"/>
      <c r="Y190" s="33"/>
      <c r="Z190" s="33"/>
      <c r="AA190" s="33"/>
      <c r="AB190" s="33"/>
      <c r="AC190" s="33"/>
      <c r="AD190" s="33"/>
      <c r="AE190" s="33"/>
      <c r="AF190" s="33"/>
      <c r="AG190" s="33"/>
      <c r="AH190" s="33"/>
      <c r="AI190" s="33"/>
      <c r="AJ190" s="33"/>
      <c r="AK190" s="33"/>
      <c r="AL190" s="33"/>
      <c r="AM190" s="34"/>
      <c r="AN190" s="34"/>
      <c r="AO190" s="34"/>
      <c r="AP190" s="34"/>
      <c r="AQ190" s="34"/>
      <c r="AR190" s="34"/>
      <c r="AS190" s="34"/>
      <c r="AT190" s="34"/>
      <c r="AU190" s="34"/>
      <c r="AV190" s="34"/>
      <c r="AW190" s="34"/>
      <c r="AX190" s="34"/>
      <c r="AY190" s="34"/>
      <c r="AZ190" s="34"/>
      <c r="BA190" s="34"/>
      <c r="BB190" s="34"/>
      <c r="BC190" s="34"/>
      <c r="BD190" s="34"/>
      <c r="BE190" s="34"/>
      <c r="BF190" s="34"/>
      <c r="BG190" s="34"/>
      <c r="BH190" s="34"/>
      <c r="BI190" s="34"/>
      <c r="BJ190" s="34"/>
      <c r="BK190" s="34"/>
      <c r="BL190" s="34"/>
      <c r="BM190" s="23"/>
      <c r="BN190" s="23"/>
      <c r="BO190" s="23"/>
    </row>
    <row r="191" spans="1:67" ht="7.5" hidden="1" customHeight="1" thickTop="1" thickBot="1" x14ac:dyDescent="0.3">
      <c r="A191" s="195"/>
      <c r="B191" s="194"/>
      <c r="C191" s="210"/>
      <c r="D191" s="235"/>
      <c r="E191" s="414"/>
      <c r="F191" s="235"/>
      <c r="G191" s="21"/>
      <c r="H191" s="235"/>
      <c r="I191" s="21"/>
    </row>
    <row r="192" spans="1:67" s="24" customFormat="1" ht="16.5" hidden="1" thickTop="1" thickBot="1" x14ac:dyDescent="0.3">
      <c r="A192" s="193" t="s">
        <v>30</v>
      </c>
      <c r="B192" s="194" t="s">
        <v>47</v>
      </c>
      <c r="C192" s="210" t="s">
        <v>38</v>
      </c>
      <c r="D192" s="254">
        <f>D273*$D$166</f>
        <v>0</v>
      </c>
      <c r="E192" s="419"/>
      <c r="F192" s="254">
        <f>F273*$F$166</f>
        <v>0</v>
      </c>
      <c r="G192" s="23"/>
      <c r="H192" s="254">
        <f>H273*$H$166</f>
        <v>0</v>
      </c>
      <c r="I192" s="23"/>
      <c r="J192" s="33"/>
      <c r="K192" s="33"/>
      <c r="L192" s="33"/>
      <c r="M192" s="33"/>
      <c r="N192" s="33"/>
      <c r="O192" s="33"/>
      <c r="P192" s="33"/>
      <c r="Q192" s="33"/>
      <c r="R192" s="33"/>
      <c r="S192" s="33"/>
      <c r="T192" s="33"/>
      <c r="U192" s="33"/>
      <c r="V192" s="33"/>
      <c r="W192" s="33"/>
      <c r="X192" s="33"/>
      <c r="Y192" s="33"/>
      <c r="Z192" s="33"/>
      <c r="AA192" s="33"/>
      <c r="AB192" s="33"/>
      <c r="AC192" s="33"/>
      <c r="AD192" s="33"/>
      <c r="AE192" s="33"/>
      <c r="AF192" s="33"/>
      <c r="AG192" s="33"/>
      <c r="AH192" s="33"/>
      <c r="AI192" s="33"/>
      <c r="AJ192" s="33"/>
      <c r="AK192" s="33"/>
      <c r="AL192" s="33"/>
      <c r="AM192" s="34"/>
      <c r="AN192" s="34"/>
      <c r="AO192" s="34"/>
      <c r="AP192" s="34"/>
      <c r="AQ192" s="34"/>
      <c r="AR192" s="34"/>
      <c r="AS192" s="34"/>
      <c r="AT192" s="34"/>
      <c r="AU192" s="34"/>
      <c r="AV192" s="34"/>
      <c r="AW192" s="34"/>
      <c r="AX192" s="34"/>
      <c r="AY192" s="34"/>
      <c r="AZ192" s="34"/>
      <c r="BA192" s="34"/>
      <c r="BB192" s="34"/>
      <c r="BC192" s="34"/>
      <c r="BD192" s="34"/>
      <c r="BE192" s="34"/>
      <c r="BF192" s="34"/>
      <c r="BG192" s="34"/>
      <c r="BH192" s="34"/>
      <c r="BI192" s="34"/>
      <c r="BJ192" s="34"/>
      <c r="BK192" s="34"/>
      <c r="BL192" s="34"/>
      <c r="BM192" s="23"/>
      <c r="BN192" s="23"/>
      <c r="BO192" s="23"/>
    </row>
    <row r="193" spans="1:67" ht="7.5" hidden="1" customHeight="1" thickTop="1" thickBot="1" x14ac:dyDescent="0.3">
      <c r="A193" s="195"/>
      <c r="B193" s="194"/>
      <c r="C193" s="210"/>
      <c r="D193" s="235"/>
      <c r="E193" s="414"/>
      <c r="F193" s="235"/>
      <c r="G193" s="21"/>
      <c r="H193" s="235"/>
      <c r="I193" s="21"/>
    </row>
    <row r="194" spans="1:67" s="24" customFormat="1" ht="16.5" hidden="1" thickTop="1" thickBot="1" x14ac:dyDescent="0.3">
      <c r="A194" s="193" t="s">
        <v>30</v>
      </c>
      <c r="B194" s="194" t="s">
        <v>48</v>
      </c>
      <c r="C194" s="210" t="s">
        <v>38</v>
      </c>
      <c r="D194" s="254">
        <f>D275*$D$166</f>
        <v>0</v>
      </c>
      <c r="E194" s="419"/>
      <c r="F194" s="254">
        <f>F275*$F$166</f>
        <v>0</v>
      </c>
      <c r="G194" s="23"/>
      <c r="H194" s="254">
        <f>H275*$H$166</f>
        <v>0</v>
      </c>
      <c r="I194" s="23"/>
      <c r="J194" s="33"/>
      <c r="K194" s="33"/>
      <c r="L194" s="33"/>
      <c r="M194" s="33"/>
      <c r="N194" s="33"/>
      <c r="O194" s="33"/>
      <c r="P194" s="33"/>
      <c r="Q194" s="33"/>
      <c r="R194" s="33"/>
      <c r="S194" s="33"/>
      <c r="T194" s="33"/>
      <c r="U194" s="33"/>
      <c r="V194" s="33"/>
      <c r="W194" s="33"/>
      <c r="X194" s="33"/>
      <c r="Y194" s="33"/>
      <c r="Z194" s="33"/>
      <c r="AA194" s="33"/>
      <c r="AB194" s="33"/>
      <c r="AC194" s="33"/>
      <c r="AD194" s="33"/>
      <c r="AE194" s="33"/>
      <c r="AF194" s="33"/>
      <c r="AG194" s="33"/>
      <c r="AH194" s="33"/>
      <c r="AI194" s="33"/>
      <c r="AJ194" s="33"/>
      <c r="AK194" s="33"/>
      <c r="AL194" s="33"/>
      <c r="AM194" s="34"/>
      <c r="AN194" s="34"/>
      <c r="AO194" s="34"/>
      <c r="AP194" s="34"/>
      <c r="AQ194" s="34"/>
      <c r="AR194" s="34"/>
      <c r="AS194" s="34"/>
      <c r="AT194" s="34"/>
      <c r="AU194" s="34"/>
      <c r="AV194" s="34"/>
      <c r="AW194" s="34"/>
      <c r="AX194" s="34"/>
      <c r="AY194" s="34"/>
      <c r="AZ194" s="34"/>
      <c r="BA194" s="34"/>
      <c r="BB194" s="34"/>
      <c r="BC194" s="34"/>
      <c r="BD194" s="34"/>
      <c r="BE194" s="34"/>
      <c r="BF194" s="34"/>
      <c r="BG194" s="34"/>
      <c r="BH194" s="34"/>
      <c r="BI194" s="34"/>
      <c r="BJ194" s="34"/>
      <c r="BK194" s="34"/>
      <c r="BL194" s="34"/>
      <c r="BM194" s="23"/>
      <c r="BN194" s="23"/>
      <c r="BO194" s="23"/>
    </row>
    <row r="195" spans="1:67" ht="7.5" hidden="1" customHeight="1" thickTop="1" thickBot="1" x14ac:dyDescent="0.3">
      <c r="A195" s="195"/>
      <c r="B195" s="194"/>
      <c r="C195" s="210"/>
      <c r="D195" s="235"/>
      <c r="E195" s="414"/>
      <c r="F195" s="235"/>
      <c r="G195" s="21"/>
      <c r="H195" s="235"/>
      <c r="I195" s="21"/>
    </row>
    <row r="196" spans="1:67" s="24" customFormat="1" ht="16.5" hidden="1" thickTop="1" thickBot="1" x14ac:dyDescent="0.3">
      <c r="A196" s="193" t="s">
        <v>30</v>
      </c>
      <c r="B196" s="194" t="s">
        <v>49</v>
      </c>
      <c r="C196" s="210" t="s">
        <v>38</v>
      </c>
      <c r="D196" s="254">
        <f>D277*$D$166</f>
        <v>0</v>
      </c>
      <c r="E196" s="419"/>
      <c r="F196" s="254">
        <f>F277*$F$166</f>
        <v>0</v>
      </c>
      <c r="G196" s="23"/>
      <c r="H196" s="254">
        <f>H277*$H$166</f>
        <v>0</v>
      </c>
      <c r="I196" s="23"/>
      <c r="J196" s="33"/>
      <c r="K196" s="33"/>
      <c r="L196" s="33"/>
      <c r="M196" s="33"/>
      <c r="N196" s="33"/>
      <c r="O196" s="33"/>
      <c r="P196" s="33"/>
      <c r="Q196" s="33"/>
      <c r="R196" s="33"/>
      <c r="S196" s="33"/>
      <c r="T196" s="33"/>
      <c r="U196" s="33"/>
      <c r="V196" s="33"/>
      <c r="W196" s="33"/>
      <c r="X196" s="33"/>
      <c r="Y196" s="33"/>
      <c r="Z196" s="33"/>
      <c r="AA196" s="33"/>
      <c r="AB196" s="33"/>
      <c r="AC196" s="33"/>
      <c r="AD196" s="33"/>
      <c r="AE196" s="33"/>
      <c r="AF196" s="33"/>
      <c r="AG196" s="33"/>
      <c r="AH196" s="33"/>
      <c r="AI196" s="33"/>
      <c r="AJ196" s="33"/>
      <c r="AK196" s="33"/>
      <c r="AL196" s="33"/>
      <c r="AM196" s="34"/>
      <c r="AN196" s="34"/>
      <c r="AO196" s="34"/>
      <c r="AP196" s="34"/>
      <c r="AQ196" s="34"/>
      <c r="AR196" s="34"/>
      <c r="AS196" s="34"/>
      <c r="AT196" s="34"/>
      <c r="AU196" s="34"/>
      <c r="AV196" s="34"/>
      <c r="AW196" s="34"/>
      <c r="AX196" s="34"/>
      <c r="AY196" s="34"/>
      <c r="AZ196" s="34"/>
      <c r="BA196" s="34"/>
      <c r="BB196" s="34"/>
      <c r="BC196" s="34"/>
      <c r="BD196" s="34"/>
      <c r="BE196" s="34"/>
      <c r="BF196" s="34"/>
      <c r="BG196" s="34"/>
      <c r="BH196" s="34"/>
      <c r="BI196" s="34"/>
      <c r="BJ196" s="34"/>
      <c r="BK196" s="34"/>
      <c r="BL196" s="34"/>
      <c r="BM196" s="23"/>
      <c r="BN196" s="23"/>
      <c r="BO196" s="23"/>
    </row>
    <row r="197" spans="1:67" ht="7.5" hidden="1" customHeight="1" thickTop="1" thickBot="1" x14ac:dyDescent="0.3">
      <c r="D197" s="235"/>
      <c r="E197" s="414"/>
      <c r="F197" s="224"/>
      <c r="H197" s="224"/>
    </row>
    <row r="198" spans="1:67" ht="16.5" hidden="1" thickTop="1" thickBot="1" x14ac:dyDescent="0.3">
      <c r="A198" s="193" t="s">
        <v>30</v>
      </c>
      <c r="B198" s="194" t="str">
        <f>B279</f>
        <v>Maand 13</v>
      </c>
      <c r="C198" s="210" t="s">
        <v>38</v>
      </c>
      <c r="D198" s="254">
        <f>D279*$D$166</f>
        <v>0</v>
      </c>
      <c r="E198" s="419"/>
      <c r="F198" s="254">
        <f t="shared" ref="F198:F244" si="0">F279*$F$166</f>
        <v>0</v>
      </c>
      <c r="G198" s="23"/>
      <c r="H198" s="254">
        <f t="shared" ref="H198:H244" si="1">H279*$H$166</f>
        <v>0</v>
      </c>
    </row>
    <row r="199" spans="1:67" ht="7.5" hidden="1" customHeight="1" thickTop="1" thickBot="1" x14ac:dyDescent="0.3">
      <c r="B199" s="194"/>
      <c r="C199" s="210"/>
      <c r="D199" s="235"/>
      <c r="E199" s="414"/>
      <c r="F199" s="235"/>
      <c r="G199" s="21"/>
      <c r="H199" s="235"/>
    </row>
    <row r="200" spans="1:67" ht="16.5" hidden="1" thickTop="1" thickBot="1" x14ac:dyDescent="0.3">
      <c r="A200" s="193" t="s">
        <v>30</v>
      </c>
      <c r="B200" s="194" t="str">
        <f>B281</f>
        <v>Maand 14</v>
      </c>
      <c r="C200" s="210" t="s">
        <v>38</v>
      </c>
      <c r="D200" s="254">
        <f t="shared" ref="D200:D244" si="2">D281*$D$166</f>
        <v>0</v>
      </c>
      <c r="E200" s="419"/>
      <c r="F200" s="254">
        <f t="shared" si="0"/>
        <v>0</v>
      </c>
      <c r="G200" s="23"/>
      <c r="H200" s="254">
        <f t="shared" si="1"/>
        <v>0</v>
      </c>
    </row>
    <row r="201" spans="1:67" ht="7.5" hidden="1" customHeight="1" thickTop="1" thickBot="1" x14ac:dyDescent="0.3">
      <c r="B201" s="194"/>
      <c r="C201" s="210"/>
      <c r="D201" s="235"/>
      <c r="E201" s="414"/>
      <c r="F201" s="235"/>
      <c r="G201" s="21"/>
      <c r="H201" s="235"/>
    </row>
    <row r="202" spans="1:67" ht="16.5" hidden="1" thickTop="1" thickBot="1" x14ac:dyDescent="0.3">
      <c r="A202" s="193" t="s">
        <v>30</v>
      </c>
      <c r="B202" s="194" t="str">
        <f>B283</f>
        <v>Maand 15</v>
      </c>
      <c r="C202" s="210" t="s">
        <v>38</v>
      </c>
      <c r="D202" s="254">
        <f t="shared" si="2"/>
        <v>0</v>
      </c>
      <c r="E202" s="419"/>
      <c r="F202" s="254">
        <f t="shared" si="0"/>
        <v>0</v>
      </c>
      <c r="G202" s="23"/>
      <c r="H202" s="254">
        <f t="shared" si="1"/>
        <v>0</v>
      </c>
    </row>
    <row r="203" spans="1:67" ht="7.5" hidden="1" customHeight="1" thickTop="1" thickBot="1" x14ac:dyDescent="0.3">
      <c r="B203" s="194"/>
      <c r="C203" s="210"/>
      <c r="D203" s="235"/>
      <c r="E203" s="414"/>
      <c r="F203" s="235"/>
      <c r="G203" s="21"/>
      <c r="H203" s="235"/>
    </row>
    <row r="204" spans="1:67" ht="16.5" hidden="1" thickTop="1" thickBot="1" x14ac:dyDescent="0.3">
      <c r="A204" s="193" t="s">
        <v>30</v>
      </c>
      <c r="B204" s="194" t="str">
        <f>B285</f>
        <v>Maand 16</v>
      </c>
      <c r="C204" s="210" t="s">
        <v>38</v>
      </c>
      <c r="D204" s="254">
        <f t="shared" si="2"/>
        <v>0</v>
      </c>
      <c r="E204" s="419"/>
      <c r="F204" s="254">
        <f t="shared" si="0"/>
        <v>0</v>
      </c>
      <c r="G204" s="23"/>
      <c r="H204" s="254">
        <f t="shared" si="1"/>
        <v>0</v>
      </c>
    </row>
    <row r="205" spans="1:67" ht="7.5" hidden="1" customHeight="1" thickTop="1" thickBot="1" x14ac:dyDescent="0.3">
      <c r="B205" s="194"/>
      <c r="C205" s="210"/>
      <c r="D205" s="235"/>
      <c r="E205" s="414"/>
      <c r="F205" s="235"/>
      <c r="G205" s="21"/>
      <c r="H205" s="235"/>
    </row>
    <row r="206" spans="1:67" ht="16.5" hidden="1" thickTop="1" thickBot="1" x14ac:dyDescent="0.3">
      <c r="A206" s="193" t="s">
        <v>30</v>
      </c>
      <c r="B206" s="194" t="str">
        <f>B287</f>
        <v>Maand 17</v>
      </c>
      <c r="C206" s="210" t="s">
        <v>38</v>
      </c>
      <c r="D206" s="254">
        <f t="shared" si="2"/>
        <v>0</v>
      </c>
      <c r="E206" s="419"/>
      <c r="F206" s="254">
        <f t="shared" si="0"/>
        <v>0</v>
      </c>
      <c r="G206" s="23"/>
      <c r="H206" s="254">
        <f t="shared" si="1"/>
        <v>0</v>
      </c>
    </row>
    <row r="207" spans="1:67" ht="7.5" hidden="1" customHeight="1" thickTop="1" thickBot="1" x14ac:dyDescent="0.3">
      <c r="B207" s="194"/>
      <c r="C207" s="210"/>
      <c r="D207" s="235"/>
      <c r="E207" s="414"/>
      <c r="F207" s="235"/>
      <c r="G207" s="21"/>
      <c r="H207" s="235"/>
    </row>
    <row r="208" spans="1:67" ht="16.5" hidden="1" thickTop="1" thickBot="1" x14ac:dyDescent="0.3">
      <c r="A208" s="193" t="s">
        <v>30</v>
      </c>
      <c r="B208" s="194" t="str">
        <f>B289</f>
        <v>Maand 18</v>
      </c>
      <c r="C208" s="210" t="s">
        <v>38</v>
      </c>
      <c r="D208" s="254">
        <f t="shared" si="2"/>
        <v>0</v>
      </c>
      <c r="E208" s="419"/>
      <c r="F208" s="254">
        <f t="shared" si="0"/>
        <v>0</v>
      </c>
      <c r="G208" s="23"/>
      <c r="H208" s="254">
        <f t="shared" si="1"/>
        <v>0</v>
      </c>
    </row>
    <row r="209" spans="1:8" ht="7.5" hidden="1" customHeight="1" thickTop="1" thickBot="1" x14ac:dyDescent="0.3">
      <c r="B209" s="194"/>
      <c r="C209" s="210"/>
      <c r="D209" s="235"/>
      <c r="E209" s="414"/>
      <c r="F209" s="235"/>
      <c r="G209" s="21"/>
      <c r="H209" s="235"/>
    </row>
    <row r="210" spans="1:8" ht="16.5" hidden="1" thickTop="1" thickBot="1" x14ac:dyDescent="0.3">
      <c r="A210" s="193" t="s">
        <v>30</v>
      </c>
      <c r="B210" s="194" t="str">
        <f>B291</f>
        <v>Maand 19</v>
      </c>
      <c r="C210" s="210" t="s">
        <v>38</v>
      </c>
      <c r="D210" s="254">
        <f t="shared" si="2"/>
        <v>0</v>
      </c>
      <c r="E210" s="419"/>
      <c r="F210" s="254">
        <f t="shared" si="0"/>
        <v>0</v>
      </c>
      <c r="G210" s="23"/>
      <c r="H210" s="254">
        <f t="shared" si="1"/>
        <v>0</v>
      </c>
    </row>
    <row r="211" spans="1:8" ht="7.5" hidden="1" customHeight="1" thickTop="1" thickBot="1" x14ac:dyDescent="0.3">
      <c r="B211" s="194"/>
      <c r="C211" s="210"/>
      <c r="D211" s="235"/>
      <c r="E211" s="414"/>
      <c r="F211" s="235"/>
      <c r="G211" s="21"/>
      <c r="H211" s="235"/>
    </row>
    <row r="212" spans="1:8" ht="16.5" hidden="1" thickTop="1" thickBot="1" x14ac:dyDescent="0.3">
      <c r="A212" s="193" t="s">
        <v>30</v>
      </c>
      <c r="B212" s="194" t="str">
        <f>B293</f>
        <v>Maand 20</v>
      </c>
      <c r="C212" s="210" t="s">
        <v>38</v>
      </c>
      <c r="D212" s="254">
        <f t="shared" si="2"/>
        <v>0</v>
      </c>
      <c r="E212" s="419"/>
      <c r="F212" s="254">
        <f t="shared" si="0"/>
        <v>0</v>
      </c>
      <c r="G212" s="23"/>
      <c r="H212" s="254">
        <f t="shared" si="1"/>
        <v>0</v>
      </c>
    </row>
    <row r="213" spans="1:8" ht="7.5" hidden="1" customHeight="1" thickTop="1" thickBot="1" x14ac:dyDescent="0.3">
      <c r="B213" s="194"/>
      <c r="C213" s="210"/>
      <c r="D213" s="235"/>
      <c r="E213" s="414"/>
      <c r="F213" s="235"/>
      <c r="G213" s="21"/>
      <c r="H213" s="235"/>
    </row>
    <row r="214" spans="1:8" ht="16.5" hidden="1" thickTop="1" thickBot="1" x14ac:dyDescent="0.3">
      <c r="A214" s="193" t="s">
        <v>30</v>
      </c>
      <c r="B214" s="194" t="str">
        <f>B295</f>
        <v>Maand 21</v>
      </c>
      <c r="C214" s="210" t="s">
        <v>38</v>
      </c>
      <c r="D214" s="254">
        <f t="shared" si="2"/>
        <v>0</v>
      </c>
      <c r="E214" s="419"/>
      <c r="F214" s="254">
        <f t="shared" si="0"/>
        <v>0</v>
      </c>
      <c r="G214" s="23"/>
      <c r="H214" s="254">
        <f t="shared" si="1"/>
        <v>0</v>
      </c>
    </row>
    <row r="215" spans="1:8" ht="7.5" hidden="1" customHeight="1" thickTop="1" thickBot="1" x14ac:dyDescent="0.3">
      <c r="B215" s="194"/>
      <c r="C215" s="210"/>
      <c r="D215" s="235"/>
      <c r="E215" s="414"/>
      <c r="F215" s="235"/>
      <c r="G215" s="21"/>
      <c r="H215" s="235"/>
    </row>
    <row r="216" spans="1:8" ht="16.5" hidden="1" thickTop="1" thickBot="1" x14ac:dyDescent="0.3">
      <c r="A216" s="193" t="s">
        <v>30</v>
      </c>
      <c r="B216" s="194" t="str">
        <f>B297</f>
        <v>Maand 22</v>
      </c>
      <c r="C216" s="210" t="s">
        <v>38</v>
      </c>
      <c r="D216" s="254">
        <f t="shared" si="2"/>
        <v>0</v>
      </c>
      <c r="E216" s="419"/>
      <c r="F216" s="254">
        <f t="shared" si="0"/>
        <v>0</v>
      </c>
      <c r="G216" s="23"/>
      <c r="H216" s="254">
        <f t="shared" si="1"/>
        <v>0</v>
      </c>
    </row>
    <row r="217" spans="1:8" ht="7.5" hidden="1" customHeight="1" thickTop="1" thickBot="1" x14ac:dyDescent="0.3">
      <c r="B217" s="194"/>
      <c r="C217" s="210"/>
      <c r="D217" s="235"/>
      <c r="E217" s="414"/>
      <c r="F217" s="235"/>
      <c r="G217" s="21"/>
      <c r="H217" s="235"/>
    </row>
    <row r="218" spans="1:8" ht="16.5" hidden="1" thickTop="1" thickBot="1" x14ac:dyDescent="0.3">
      <c r="A218" s="193" t="s">
        <v>30</v>
      </c>
      <c r="B218" s="194" t="str">
        <f>B299</f>
        <v>Maand 23</v>
      </c>
      <c r="C218" s="210" t="s">
        <v>38</v>
      </c>
      <c r="D218" s="254">
        <f t="shared" si="2"/>
        <v>0</v>
      </c>
      <c r="E218" s="419"/>
      <c r="F218" s="254">
        <f t="shared" si="0"/>
        <v>0</v>
      </c>
      <c r="G218" s="23"/>
      <c r="H218" s="254">
        <f t="shared" si="1"/>
        <v>0</v>
      </c>
    </row>
    <row r="219" spans="1:8" ht="7.5" hidden="1" customHeight="1" thickTop="1" thickBot="1" x14ac:dyDescent="0.3">
      <c r="B219" s="194"/>
      <c r="C219" s="210"/>
      <c r="D219" s="235"/>
      <c r="E219" s="414"/>
      <c r="F219" s="235"/>
      <c r="G219" s="21"/>
      <c r="H219" s="235"/>
    </row>
    <row r="220" spans="1:8" ht="16.5" hidden="1" thickTop="1" thickBot="1" x14ac:dyDescent="0.3">
      <c r="A220" s="193" t="s">
        <v>30</v>
      </c>
      <c r="B220" s="194" t="str">
        <f>B301</f>
        <v>Maand 24</v>
      </c>
      <c r="C220" s="210" t="s">
        <v>38</v>
      </c>
      <c r="D220" s="254">
        <f t="shared" si="2"/>
        <v>0</v>
      </c>
      <c r="E220" s="419"/>
      <c r="F220" s="254">
        <f t="shared" si="0"/>
        <v>0</v>
      </c>
      <c r="G220" s="23"/>
      <c r="H220" s="254">
        <f t="shared" si="1"/>
        <v>0</v>
      </c>
    </row>
    <row r="221" spans="1:8" ht="7.5" hidden="1" customHeight="1" thickTop="1" thickBot="1" x14ac:dyDescent="0.3">
      <c r="B221" s="194"/>
      <c r="D221" s="216"/>
      <c r="E221" s="414"/>
      <c r="F221" s="224"/>
      <c r="H221" s="224"/>
    </row>
    <row r="222" spans="1:8" ht="16.5" hidden="1" thickTop="1" thickBot="1" x14ac:dyDescent="0.3">
      <c r="A222" s="193" t="s">
        <v>30</v>
      </c>
      <c r="B222" s="194" t="str">
        <f>B303</f>
        <v>Maand 25</v>
      </c>
      <c r="C222" s="210" t="s">
        <v>38</v>
      </c>
      <c r="D222" s="254">
        <f t="shared" si="2"/>
        <v>0</v>
      </c>
      <c r="E222" s="419"/>
      <c r="F222" s="254">
        <f t="shared" si="0"/>
        <v>0</v>
      </c>
      <c r="G222" s="23"/>
      <c r="H222" s="254">
        <f t="shared" si="1"/>
        <v>0</v>
      </c>
    </row>
    <row r="223" spans="1:8" ht="7.5" hidden="1" customHeight="1" thickTop="1" thickBot="1" x14ac:dyDescent="0.3">
      <c r="B223" s="194"/>
      <c r="C223" s="210"/>
      <c r="D223" s="235"/>
      <c r="E223" s="414"/>
      <c r="F223" s="235"/>
      <c r="G223" s="21"/>
      <c r="H223" s="235"/>
    </row>
    <row r="224" spans="1:8" ht="16.5" hidden="1" thickTop="1" thickBot="1" x14ac:dyDescent="0.3">
      <c r="A224" s="193" t="s">
        <v>30</v>
      </c>
      <c r="B224" s="194" t="str">
        <f>B305</f>
        <v>Maand 26</v>
      </c>
      <c r="C224" s="210" t="s">
        <v>38</v>
      </c>
      <c r="D224" s="254">
        <f t="shared" si="2"/>
        <v>0</v>
      </c>
      <c r="E224" s="419"/>
      <c r="F224" s="254">
        <f t="shared" si="0"/>
        <v>0</v>
      </c>
      <c r="G224" s="23"/>
      <c r="H224" s="254">
        <f t="shared" si="1"/>
        <v>0</v>
      </c>
    </row>
    <row r="225" spans="1:8" ht="7.5" hidden="1" customHeight="1" thickTop="1" thickBot="1" x14ac:dyDescent="0.3">
      <c r="B225" s="194"/>
      <c r="C225" s="210"/>
      <c r="D225" s="235"/>
      <c r="E225" s="414"/>
      <c r="F225" s="235"/>
      <c r="G225" s="21"/>
      <c r="H225" s="235"/>
    </row>
    <row r="226" spans="1:8" ht="16.5" hidden="1" thickTop="1" thickBot="1" x14ac:dyDescent="0.3">
      <c r="A226" s="193" t="s">
        <v>30</v>
      </c>
      <c r="B226" s="194" t="str">
        <f>B307</f>
        <v>Maand 27</v>
      </c>
      <c r="C226" s="210" t="s">
        <v>38</v>
      </c>
      <c r="D226" s="254">
        <f t="shared" si="2"/>
        <v>0</v>
      </c>
      <c r="E226" s="419"/>
      <c r="F226" s="254">
        <f t="shared" si="0"/>
        <v>0</v>
      </c>
      <c r="G226" s="23"/>
      <c r="H226" s="254">
        <f t="shared" si="1"/>
        <v>0</v>
      </c>
    </row>
    <row r="227" spans="1:8" ht="7.5" hidden="1" customHeight="1" thickTop="1" thickBot="1" x14ac:dyDescent="0.3">
      <c r="B227" s="194"/>
      <c r="C227" s="210"/>
      <c r="D227" s="235"/>
      <c r="E227" s="414"/>
      <c r="F227" s="235"/>
      <c r="G227" s="21"/>
      <c r="H227" s="235"/>
    </row>
    <row r="228" spans="1:8" ht="16.5" hidden="1" thickTop="1" thickBot="1" x14ac:dyDescent="0.3">
      <c r="A228" s="193" t="s">
        <v>30</v>
      </c>
      <c r="B228" s="194" t="str">
        <f>B309</f>
        <v>Maand 28</v>
      </c>
      <c r="C228" s="210" t="s">
        <v>38</v>
      </c>
      <c r="D228" s="254">
        <f t="shared" si="2"/>
        <v>0</v>
      </c>
      <c r="E228" s="419"/>
      <c r="F228" s="254">
        <f t="shared" si="0"/>
        <v>0</v>
      </c>
      <c r="G228" s="23"/>
      <c r="H228" s="254">
        <f t="shared" si="1"/>
        <v>0</v>
      </c>
    </row>
    <row r="229" spans="1:8" ht="7.5" hidden="1" customHeight="1" thickTop="1" thickBot="1" x14ac:dyDescent="0.3">
      <c r="B229" s="194"/>
      <c r="C229" s="210"/>
      <c r="D229" s="235"/>
      <c r="E229" s="414"/>
      <c r="F229" s="235"/>
      <c r="G229" s="21"/>
      <c r="H229" s="235"/>
    </row>
    <row r="230" spans="1:8" ht="16.5" hidden="1" thickTop="1" thickBot="1" x14ac:dyDescent="0.3">
      <c r="A230" s="193" t="s">
        <v>30</v>
      </c>
      <c r="B230" s="194" t="str">
        <f>B311</f>
        <v>Maand 29</v>
      </c>
      <c r="C230" s="210" t="s">
        <v>38</v>
      </c>
      <c r="D230" s="254">
        <f t="shared" si="2"/>
        <v>0</v>
      </c>
      <c r="E230" s="419"/>
      <c r="F230" s="254">
        <f t="shared" si="0"/>
        <v>0</v>
      </c>
      <c r="G230" s="23"/>
      <c r="H230" s="254">
        <f t="shared" si="1"/>
        <v>0</v>
      </c>
    </row>
    <row r="231" spans="1:8" ht="7.5" hidden="1" customHeight="1" thickTop="1" thickBot="1" x14ac:dyDescent="0.3">
      <c r="B231" s="194"/>
      <c r="C231" s="210"/>
      <c r="D231" s="235"/>
      <c r="E231" s="414"/>
      <c r="F231" s="235"/>
      <c r="G231" s="21"/>
      <c r="H231" s="235"/>
    </row>
    <row r="232" spans="1:8" ht="16.5" hidden="1" thickTop="1" thickBot="1" x14ac:dyDescent="0.3">
      <c r="A232" s="193" t="s">
        <v>30</v>
      </c>
      <c r="B232" s="194" t="str">
        <f>B313</f>
        <v>Maand 30</v>
      </c>
      <c r="C232" s="210" t="s">
        <v>38</v>
      </c>
      <c r="D232" s="254">
        <f t="shared" si="2"/>
        <v>0</v>
      </c>
      <c r="E232" s="419"/>
      <c r="F232" s="254">
        <f t="shared" si="0"/>
        <v>0</v>
      </c>
      <c r="G232" s="23"/>
      <c r="H232" s="254">
        <f t="shared" si="1"/>
        <v>0</v>
      </c>
    </row>
    <row r="233" spans="1:8" ht="7.5" hidden="1" customHeight="1" thickTop="1" thickBot="1" x14ac:dyDescent="0.3">
      <c r="B233" s="194"/>
      <c r="C233" s="210"/>
      <c r="D233" s="235"/>
      <c r="E233" s="414"/>
      <c r="F233" s="235"/>
      <c r="G233" s="21"/>
      <c r="H233" s="235"/>
    </row>
    <row r="234" spans="1:8" ht="16.5" hidden="1" thickTop="1" thickBot="1" x14ac:dyDescent="0.3">
      <c r="A234" s="193" t="s">
        <v>30</v>
      </c>
      <c r="B234" s="194" t="str">
        <f>B315</f>
        <v>Maand 31</v>
      </c>
      <c r="C234" s="210" t="s">
        <v>38</v>
      </c>
      <c r="D234" s="254">
        <f t="shared" si="2"/>
        <v>0</v>
      </c>
      <c r="E234" s="419"/>
      <c r="F234" s="254">
        <f t="shared" si="0"/>
        <v>0</v>
      </c>
      <c r="G234" s="23"/>
      <c r="H234" s="254">
        <f t="shared" si="1"/>
        <v>0</v>
      </c>
    </row>
    <row r="235" spans="1:8" ht="7.5" hidden="1" customHeight="1" thickTop="1" thickBot="1" x14ac:dyDescent="0.3">
      <c r="B235" s="194"/>
      <c r="C235" s="210"/>
      <c r="D235" s="235"/>
      <c r="E235" s="414"/>
      <c r="F235" s="235"/>
      <c r="G235" s="21"/>
      <c r="H235" s="235"/>
    </row>
    <row r="236" spans="1:8" ht="16.5" hidden="1" thickTop="1" thickBot="1" x14ac:dyDescent="0.3">
      <c r="A236" s="193" t="s">
        <v>30</v>
      </c>
      <c r="B236" s="194" t="str">
        <f>B317</f>
        <v>Maand 32</v>
      </c>
      <c r="C236" s="210" t="s">
        <v>38</v>
      </c>
      <c r="D236" s="254">
        <f t="shared" si="2"/>
        <v>0</v>
      </c>
      <c r="E236" s="419"/>
      <c r="F236" s="254">
        <f t="shared" si="0"/>
        <v>0</v>
      </c>
      <c r="G236" s="23"/>
      <c r="H236" s="254">
        <f t="shared" si="1"/>
        <v>0</v>
      </c>
    </row>
    <row r="237" spans="1:8" ht="7.5" hidden="1" customHeight="1" thickTop="1" thickBot="1" x14ac:dyDescent="0.3">
      <c r="B237" s="194"/>
      <c r="C237" s="210"/>
      <c r="D237" s="235"/>
      <c r="E237" s="414"/>
      <c r="F237" s="235"/>
      <c r="G237" s="21"/>
      <c r="H237" s="235"/>
    </row>
    <row r="238" spans="1:8" ht="16.5" hidden="1" thickTop="1" thickBot="1" x14ac:dyDescent="0.3">
      <c r="A238" s="193" t="s">
        <v>30</v>
      </c>
      <c r="B238" s="194" t="str">
        <f>B319</f>
        <v>Maand 33</v>
      </c>
      <c r="C238" s="210" t="s">
        <v>38</v>
      </c>
      <c r="D238" s="254">
        <f t="shared" si="2"/>
        <v>0</v>
      </c>
      <c r="E238" s="419"/>
      <c r="F238" s="254">
        <f t="shared" si="0"/>
        <v>0</v>
      </c>
      <c r="G238" s="23"/>
      <c r="H238" s="254">
        <f t="shared" si="1"/>
        <v>0</v>
      </c>
    </row>
    <row r="239" spans="1:8" ht="7.5" hidden="1" customHeight="1" thickTop="1" thickBot="1" x14ac:dyDescent="0.3">
      <c r="B239" s="194"/>
      <c r="C239" s="210"/>
      <c r="D239" s="235"/>
      <c r="E239" s="414"/>
      <c r="F239" s="235"/>
      <c r="G239" s="21"/>
      <c r="H239" s="235"/>
    </row>
    <row r="240" spans="1:8" ht="16.5" hidden="1" thickTop="1" thickBot="1" x14ac:dyDescent="0.3">
      <c r="A240" s="193" t="s">
        <v>30</v>
      </c>
      <c r="B240" s="194" t="str">
        <f>B321</f>
        <v>Maand 34</v>
      </c>
      <c r="C240" s="210" t="s">
        <v>38</v>
      </c>
      <c r="D240" s="254">
        <f t="shared" si="2"/>
        <v>0</v>
      </c>
      <c r="E240" s="419"/>
      <c r="F240" s="254">
        <f t="shared" si="0"/>
        <v>0</v>
      </c>
      <c r="G240" s="23"/>
      <c r="H240" s="254">
        <f t="shared" si="1"/>
        <v>0</v>
      </c>
    </row>
    <row r="241" spans="1:67" ht="7.5" hidden="1" customHeight="1" thickTop="1" thickBot="1" x14ac:dyDescent="0.3">
      <c r="B241" s="194"/>
      <c r="C241" s="210"/>
      <c r="D241" s="235"/>
      <c r="E241" s="414"/>
      <c r="F241" s="235"/>
      <c r="G241" s="21"/>
      <c r="H241" s="235"/>
    </row>
    <row r="242" spans="1:67" ht="16.5" hidden="1" thickTop="1" thickBot="1" x14ac:dyDescent="0.3">
      <c r="A242" s="193" t="s">
        <v>30</v>
      </c>
      <c r="B242" s="194" t="str">
        <f>B323</f>
        <v>Maand 35</v>
      </c>
      <c r="C242" s="210" t="s">
        <v>38</v>
      </c>
      <c r="D242" s="254">
        <f t="shared" si="2"/>
        <v>0</v>
      </c>
      <c r="E242" s="419"/>
      <c r="F242" s="254">
        <f t="shared" si="0"/>
        <v>0</v>
      </c>
      <c r="G242" s="23"/>
      <c r="H242" s="254">
        <f t="shared" si="1"/>
        <v>0</v>
      </c>
    </row>
    <row r="243" spans="1:67" ht="7.5" hidden="1" customHeight="1" thickTop="1" thickBot="1" x14ac:dyDescent="0.3">
      <c r="B243" s="194"/>
      <c r="C243" s="210"/>
      <c r="D243" s="235"/>
      <c r="E243" s="414"/>
      <c r="F243" s="235"/>
      <c r="G243" s="21"/>
      <c r="H243" s="235"/>
    </row>
    <row r="244" spans="1:67" ht="16.5" hidden="1" thickTop="1" thickBot="1" x14ac:dyDescent="0.3">
      <c r="A244" s="193" t="s">
        <v>30</v>
      </c>
      <c r="B244" s="194" t="str">
        <f>B325</f>
        <v>Maand 36</v>
      </c>
      <c r="C244" s="210" t="s">
        <v>38</v>
      </c>
      <c r="D244" s="254">
        <f t="shared" si="2"/>
        <v>0</v>
      </c>
      <c r="E244" s="419"/>
      <c r="F244" s="254">
        <f t="shared" si="0"/>
        <v>0</v>
      </c>
      <c r="G244" s="23"/>
      <c r="H244" s="254">
        <f t="shared" si="1"/>
        <v>0</v>
      </c>
    </row>
    <row r="245" spans="1:67" x14ac:dyDescent="0.25">
      <c r="H245" s="224"/>
    </row>
    <row r="246" spans="1:67" x14ac:dyDescent="0.25">
      <c r="B246" s="196" t="str">
        <f>Vertaling!A129</f>
        <v>Inkomsten</v>
      </c>
      <c r="C246" s="255"/>
      <c r="D246" s="209" t="s">
        <v>31</v>
      </c>
      <c r="E246" s="401"/>
      <c r="F246" s="209" t="s">
        <v>32</v>
      </c>
      <c r="G246" s="51"/>
      <c r="H246" s="209" t="s">
        <v>1211</v>
      </c>
      <c r="I246" s="51"/>
    </row>
    <row r="247" spans="1:67" ht="16.5" hidden="1" customHeight="1" x14ac:dyDescent="0.25">
      <c r="A247" s="193" t="str">
        <f>CONCATENATE(LEFT(A173,2)+1,".")</f>
        <v>27.</v>
      </c>
      <c r="B247" s="194" t="s">
        <v>50</v>
      </c>
      <c r="C247" s="210" t="s">
        <v>38</v>
      </c>
      <c r="D247" s="256" t="e">
        <f>IF(#REF!="",0,#REF!)</f>
        <v>#REF!</v>
      </c>
      <c r="E247" s="413"/>
      <c r="F247" s="427" t="e">
        <f>IF(#REF!="",0,#REF!)</f>
        <v>#REF!</v>
      </c>
      <c r="G247" s="19"/>
      <c r="H247" s="19"/>
    </row>
    <row r="248" spans="1:67" ht="7.5" hidden="1" customHeight="1" x14ac:dyDescent="0.25">
      <c r="B248" s="194"/>
      <c r="C248" s="229"/>
      <c r="D248" s="247"/>
      <c r="E248" s="421"/>
      <c r="F248" s="247"/>
      <c r="G248" s="19"/>
      <c r="H248" s="19"/>
    </row>
    <row r="249" spans="1:67" ht="16.5" customHeight="1" x14ac:dyDescent="0.25">
      <c r="A249" s="193" t="str">
        <f>CONCATENATE(LEFT(A170,2)+1,".")</f>
        <v>26.</v>
      </c>
      <c r="B249" s="194" t="str">
        <f>Vertaling!A130</f>
        <v>Welk btw-tarief is van toepassing op de verkoopprijs?</v>
      </c>
      <c r="C249" s="210" t="str">
        <f>Vertaling!A32</f>
        <v>selecteer:</v>
      </c>
      <c r="D249" s="253"/>
      <c r="E249" s="424"/>
      <c r="F249" s="253"/>
      <c r="G249" s="48"/>
      <c r="H249" s="253"/>
      <c r="I249" s="48"/>
    </row>
    <row r="250" spans="1:67" ht="7.5" customHeight="1" x14ac:dyDescent="0.25">
      <c r="B250" s="194"/>
      <c r="C250" s="229"/>
      <c r="D250" s="247"/>
      <c r="E250" s="421"/>
      <c r="F250" s="247"/>
      <c r="G250" s="19"/>
      <c r="H250" s="247"/>
    </row>
    <row r="251" spans="1:67" ht="16.5" customHeight="1" x14ac:dyDescent="0.25">
      <c r="A251" s="193" t="str">
        <f>CONCATENATE(LEFT(A249,2)+1,".")</f>
        <v>27.</v>
      </c>
      <c r="B251" s="194" t="str">
        <f>Vertaling!A131</f>
        <v>Wanneer betalen je klanten in het algemeen?</v>
      </c>
      <c r="C251" s="210" t="str">
        <f>Vertaling!A32</f>
        <v>selecteer:</v>
      </c>
      <c r="D251" s="253"/>
      <c r="E251" s="424"/>
      <c r="F251" s="253"/>
      <c r="G251" s="19"/>
      <c r="H251" s="253"/>
    </row>
    <row r="252" spans="1:67" x14ac:dyDescent="0.25">
      <c r="B252" s="194"/>
      <c r="F252" s="191"/>
      <c r="G252" s="435"/>
      <c r="H252" s="190"/>
    </row>
    <row r="253" spans="1:67" x14ac:dyDescent="0.25">
      <c r="B253" s="196" t="str">
        <f>Vertaling!A132</f>
        <v>Omzetprognose</v>
      </c>
      <c r="C253" s="257"/>
      <c r="F253" s="255"/>
      <c r="G253" s="436"/>
      <c r="H253" s="209"/>
      <c r="I253" s="51"/>
    </row>
    <row r="254" spans="1:67" ht="30" customHeight="1" x14ac:dyDescent="0.25">
      <c r="A254" s="193" t="str">
        <f>CONCATENATE(LEFT(A251,2)+1,".")</f>
        <v>28.</v>
      </c>
      <c r="B254" s="194" t="str">
        <f>Vertaling!A133</f>
        <v>Hoeveel omzet verwacht je per maand te realiseren in het eerste actieve bedrijfsjaar?</v>
      </c>
      <c r="C254" s="216"/>
      <c r="D254" s="209" t="s">
        <v>31</v>
      </c>
      <c r="E254" s="401"/>
      <c r="F254" s="209" t="s">
        <v>32</v>
      </c>
      <c r="G254" s="21"/>
      <c r="H254" s="209" t="s">
        <v>1211</v>
      </c>
      <c r="I254" s="21"/>
      <c r="K254" s="32"/>
    </row>
    <row r="255" spans="1:67" s="24" customFormat="1" x14ac:dyDescent="0.25">
      <c r="A255" s="187" t="s">
        <v>30</v>
      </c>
      <c r="B255" s="194" t="str">
        <f>Vertaling!A134</f>
        <v>Maand 1</v>
      </c>
      <c r="C255" s="210" t="str">
        <f>Vertaling!$A$34</f>
        <v>vul bedrag in:</v>
      </c>
      <c r="D255" s="234"/>
      <c r="E255" s="413"/>
      <c r="F255" s="234"/>
      <c r="G255" s="23"/>
      <c r="H255" s="234"/>
      <c r="I255" s="23"/>
      <c r="J255" s="33"/>
      <c r="K255" s="33"/>
      <c r="L255" s="33"/>
      <c r="M255" s="33"/>
      <c r="N255" s="33"/>
      <c r="O255" s="33"/>
      <c r="P255" s="33"/>
      <c r="Q255" s="33"/>
      <c r="R255" s="33"/>
      <c r="S255" s="33"/>
      <c r="T255" s="33"/>
      <c r="U255" s="33"/>
      <c r="V255" s="33"/>
      <c r="W255" s="33"/>
      <c r="X255" s="33"/>
      <c r="Y255" s="33"/>
      <c r="Z255" s="33"/>
      <c r="AA255" s="33"/>
      <c r="AB255" s="33"/>
      <c r="AC255" s="33"/>
      <c r="AD255" s="33"/>
      <c r="AE255" s="33"/>
      <c r="AF255" s="33"/>
      <c r="AG255" s="33"/>
      <c r="AH255" s="33"/>
      <c r="AI255" s="33"/>
      <c r="AJ255" s="33"/>
      <c r="AK255" s="33"/>
      <c r="AL255" s="33"/>
      <c r="AM255" s="34"/>
      <c r="AN255" s="34"/>
      <c r="AO255" s="34"/>
      <c r="AP255" s="34"/>
      <c r="AQ255" s="34"/>
      <c r="AR255" s="34"/>
      <c r="AS255" s="34"/>
      <c r="AT255" s="34"/>
      <c r="AU255" s="34"/>
      <c r="AV255" s="34"/>
      <c r="AW255" s="34"/>
      <c r="AX255" s="34"/>
      <c r="AY255" s="34"/>
      <c r="AZ255" s="34"/>
      <c r="BA255" s="34"/>
      <c r="BB255" s="34"/>
      <c r="BC255" s="34"/>
      <c r="BD255" s="34"/>
      <c r="BE255" s="34"/>
      <c r="BF255" s="34"/>
      <c r="BG255" s="34"/>
      <c r="BH255" s="34"/>
      <c r="BI255" s="34"/>
      <c r="BJ255" s="34"/>
      <c r="BK255" s="34"/>
      <c r="BL255" s="34"/>
      <c r="BM255" s="23"/>
      <c r="BN255" s="23"/>
      <c r="BO255" s="23"/>
    </row>
    <row r="256" spans="1:67" ht="7.5" customHeight="1" x14ac:dyDescent="0.25">
      <c r="A256" s="195"/>
      <c r="B256" s="194"/>
      <c r="C256" s="210"/>
      <c r="D256" s="235"/>
      <c r="E256" s="414"/>
      <c r="F256" s="235"/>
      <c r="G256" s="21"/>
      <c r="H256" s="235"/>
      <c r="I256" s="21"/>
    </row>
    <row r="257" spans="1:67" s="24" customFormat="1" x14ac:dyDescent="0.25">
      <c r="A257" s="187" t="s">
        <v>30</v>
      </c>
      <c r="B257" s="194" t="str">
        <f>Vertaling!A135</f>
        <v>Maand 2</v>
      </c>
      <c r="C257" s="210" t="str">
        <f>Vertaling!$A$34</f>
        <v>vul bedrag in:</v>
      </c>
      <c r="D257" s="234"/>
      <c r="E257" s="413"/>
      <c r="F257" s="234"/>
      <c r="G257" s="23"/>
      <c r="H257" s="234"/>
      <c r="I257" s="23"/>
      <c r="J257" s="33"/>
      <c r="K257" s="33"/>
      <c r="L257" s="33"/>
      <c r="M257" s="33"/>
      <c r="N257" s="33"/>
      <c r="O257" s="33"/>
      <c r="P257" s="33"/>
      <c r="Q257" s="33"/>
      <c r="R257" s="33"/>
      <c r="S257" s="33"/>
      <c r="T257" s="33"/>
      <c r="U257" s="33"/>
      <c r="V257" s="33"/>
      <c r="W257" s="33"/>
      <c r="X257" s="33"/>
      <c r="Y257" s="33"/>
      <c r="Z257" s="33"/>
      <c r="AA257" s="33"/>
      <c r="AB257" s="33"/>
      <c r="AC257" s="33"/>
      <c r="AD257" s="33"/>
      <c r="AE257" s="33"/>
      <c r="AF257" s="33"/>
      <c r="AG257" s="33"/>
      <c r="AH257" s="33"/>
      <c r="AI257" s="33"/>
      <c r="AJ257" s="33"/>
      <c r="AK257" s="33"/>
      <c r="AL257" s="33"/>
      <c r="AM257" s="34"/>
      <c r="AN257" s="34"/>
      <c r="AO257" s="34"/>
      <c r="AP257" s="34"/>
      <c r="AQ257" s="34"/>
      <c r="AR257" s="34"/>
      <c r="AS257" s="34"/>
      <c r="AT257" s="34"/>
      <c r="AU257" s="34"/>
      <c r="AV257" s="34"/>
      <c r="AW257" s="34"/>
      <c r="AX257" s="34"/>
      <c r="AY257" s="34"/>
      <c r="AZ257" s="34"/>
      <c r="BA257" s="34"/>
      <c r="BB257" s="34"/>
      <c r="BC257" s="34"/>
      <c r="BD257" s="34"/>
      <c r="BE257" s="34"/>
      <c r="BF257" s="34"/>
      <c r="BG257" s="34"/>
      <c r="BH257" s="34"/>
      <c r="BI257" s="34"/>
      <c r="BJ257" s="34"/>
      <c r="BK257" s="34"/>
      <c r="BL257" s="34"/>
      <c r="BM257" s="23"/>
      <c r="BN257" s="23"/>
      <c r="BO257" s="23"/>
    </row>
    <row r="258" spans="1:67" ht="7.5" customHeight="1" x14ac:dyDescent="0.25">
      <c r="A258" s="195"/>
      <c r="B258" s="194"/>
      <c r="C258" s="210"/>
      <c r="D258" s="235"/>
      <c r="E258" s="414"/>
      <c r="F258" s="235"/>
      <c r="G258" s="21"/>
      <c r="H258" s="235"/>
      <c r="I258" s="21"/>
    </row>
    <row r="259" spans="1:67" s="24" customFormat="1" x14ac:dyDescent="0.25">
      <c r="A259" s="193" t="s">
        <v>30</v>
      </c>
      <c r="B259" s="194" t="str">
        <f>Vertaling!A136</f>
        <v>Maand 3</v>
      </c>
      <c r="C259" s="210" t="str">
        <f>Vertaling!$A$34</f>
        <v>vul bedrag in:</v>
      </c>
      <c r="D259" s="234"/>
      <c r="E259" s="413"/>
      <c r="F259" s="234"/>
      <c r="G259" s="23"/>
      <c r="H259" s="234"/>
      <c r="I259" s="23"/>
      <c r="J259" s="33"/>
      <c r="K259" s="33"/>
      <c r="L259" s="33"/>
      <c r="M259" s="33"/>
      <c r="N259" s="33"/>
      <c r="O259" s="33"/>
      <c r="P259" s="33"/>
      <c r="Q259" s="33"/>
      <c r="R259" s="33"/>
      <c r="S259" s="33"/>
      <c r="T259" s="33"/>
      <c r="U259" s="33"/>
      <c r="V259" s="33"/>
      <c r="W259" s="33"/>
      <c r="X259" s="33"/>
      <c r="Y259" s="33"/>
      <c r="Z259" s="33"/>
      <c r="AA259" s="33"/>
      <c r="AB259" s="33"/>
      <c r="AC259" s="33"/>
      <c r="AD259" s="33"/>
      <c r="AE259" s="33"/>
      <c r="AF259" s="33"/>
      <c r="AG259" s="33"/>
      <c r="AH259" s="33"/>
      <c r="AI259" s="33"/>
      <c r="AJ259" s="33"/>
      <c r="AK259" s="33"/>
      <c r="AL259" s="33"/>
      <c r="AM259" s="34"/>
      <c r="AN259" s="34"/>
      <c r="AO259" s="34"/>
      <c r="AP259" s="34"/>
      <c r="AQ259" s="34"/>
      <c r="AR259" s="34"/>
      <c r="AS259" s="34"/>
      <c r="AT259" s="34"/>
      <c r="AU259" s="34"/>
      <c r="AV259" s="34"/>
      <c r="AW259" s="34"/>
      <c r="AX259" s="34"/>
      <c r="AY259" s="34"/>
      <c r="AZ259" s="34"/>
      <c r="BA259" s="34"/>
      <c r="BB259" s="34"/>
      <c r="BC259" s="34"/>
      <c r="BD259" s="34"/>
      <c r="BE259" s="34"/>
      <c r="BF259" s="34"/>
      <c r="BG259" s="34"/>
      <c r="BH259" s="34"/>
      <c r="BI259" s="34"/>
      <c r="BJ259" s="34"/>
      <c r="BK259" s="34"/>
      <c r="BL259" s="34"/>
      <c r="BM259" s="23"/>
      <c r="BN259" s="23"/>
      <c r="BO259" s="23"/>
    </row>
    <row r="260" spans="1:67" ht="7.5" customHeight="1" x14ac:dyDescent="0.25">
      <c r="A260" s="195"/>
      <c r="B260" s="194"/>
      <c r="C260" s="210"/>
      <c r="D260" s="235"/>
      <c r="E260" s="414"/>
      <c r="F260" s="235"/>
      <c r="G260" s="21"/>
      <c r="H260" s="235"/>
      <c r="I260" s="21"/>
    </row>
    <row r="261" spans="1:67" s="24" customFormat="1" x14ac:dyDescent="0.25">
      <c r="A261" s="193" t="s">
        <v>30</v>
      </c>
      <c r="B261" s="194" t="str">
        <f>Vertaling!A137</f>
        <v>Maand 4</v>
      </c>
      <c r="C261" s="210" t="str">
        <f>Vertaling!$A$34</f>
        <v>vul bedrag in:</v>
      </c>
      <c r="D261" s="234"/>
      <c r="E261" s="413"/>
      <c r="F261" s="234"/>
      <c r="G261" s="23"/>
      <c r="H261" s="234"/>
      <c r="I261" s="23"/>
      <c r="J261" s="33"/>
      <c r="K261" s="33"/>
      <c r="L261" s="33"/>
      <c r="M261" s="33"/>
      <c r="N261" s="33"/>
      <c r="O261" s="33"/>
      <c r="P261" s="33"/>
      <c r="Q261" s="33"/>
      <c r="R261" s="33"/>
      <c r="S261" s="33"/>
      <c r="T261" s="33"/>
      <c r="U261" s="33"/>
      <c r="V261" s="33"/>
      <c r="W261" s="33"/>
      <c r="X261" s="33"/>
      <c r="Y261" s="33"/>
      <c r="Z261" s="33"/>
      <c r="AA261" s="33"/>
      <c r="AB261" s="33"/>
      <c r="AC261" s="33"/>
      <c r="AD261" s="33"/>
      <c r="AE261" s="33"/>
      <c r="AF261" s="33"/>
      <c r="AG261" s="33"/>
      <c r="AH261" s="33"/>
      <c r="AI261" s="33"/>
      <c r="AJ261" s="33"/>
      <c r="AK261" s="33"/>
      <c r="AL261" s="33"/>
      <c r="AM261" s="34"/>
      <c r="AN261" s="34"/>
      <c r="AO261" s="34"/>
      <c r="AP261" s="34"/>
      <c r="AQ261" s="34"/>
      <c r="AR261" s="34"/>
      <c r="AS261" s="34"/>
      <c r="AT261" s="34"/>
      <c r="AU261" s="34"/>
      <c r="AV261" s="34"/>
      <c r="AW261" s="34"/>
      <c r="AX261" s="34"/>
      <c r="AY261" s="34"/>
      <c r="AZ261" s="34"/>
      <c r="BA261" s="34"/>
      <c r="BB261" s="34"/>
      <c r="BC261" s="34"/>
      <c r="BD261" s="34"/>
      <c r="BE261" s="34"/>
      <c r="BF261" s="34"/>
      <c r="BG261" s="34"/>
      <c r="BH261" s="34"/>
      <c r="BI261" s="34"/>
      <c r="BJ261" s="34"/>
      <c r="BK261" s="34"/>
      <c r="BL261" s="34"/>
      <c r="BM261" s="23"/>
      <c r="BN261" s="23"/>
      <c r="BO261" s="23"/>
    </row>
    <row r="262" spans="1:67" ht="7.5" customHeight="1" x14ac:dyDescent="0.25">
      <c r="A262" s="195"/>
      <c r="B262" s="194"/>
      <c r="C262" s="210"/>
      <c r="D262" s="235"/>
      <c r="E262" s="414"/>
      <c r="F262" s="235"/>
      <c r="G262" s="21"/>
      <c r="H262" s="235"/>
      <c r="I262" s="21"/>
    </row>
    <row r="263" spans="1:67" s="24" customFormat="1" x14ac:dyDescent="0.25">
      <c r="A263" s="193" t="s">
        <v>30</v>
      </c>
      <c r="B263" s="194" t="str">
        <f>Vertaling!A138</f>
        <v>Maand 5</v>
      </c>
      <c r="C263" s="210" t="str">
        <f>Vertaling!$A$34</f>
        <v>vul bedrag in:</v>
      </c>
      <c r="D263" s="234"/>
      <c r="E263" s="413"/>
      <c r="F263" s="234"/>
      <c r="G263" s="23"/>
      <c r="H263" s="234"/>
      <c r="I263" s="23"/>
      <c r="J263" s="33"/>
      <c r="K263" s="33"/>
      <c r="L263" s="33"/>
      <c r="M263" s="33"/>
      <c r="N263" s="33"/>
      <c r="O263" s="33"/>
      <c r="P263" s="33"/>
      <c r="Q263" s="33"/>
      <c r="R263" s="33"/>
      <c r="S263" s="33"/>
      <c r="T263" s="33"/>
      <c r="U263" s="33"/>
      <c r="V263" s="33"/>
      <c r="W263" s="33"/>
      <c r="X263" s="33"/>
      <c r="Y263" s="33"/>
      <c r="Z263" s="33"/>
      <c r="AA263" s="33"/>
      <c r="AB263" s="33"/>
      <c r="AC263" s="33"/>
      <c r="AD263" s="33"/>
      <c r="AE263" s="33"/>
      <c r="AF263" s="33"/>
      <c r="AG263" s="33"/>
      <c r="AH263" s="33"/>
      <c r="AI263" s="33"/>
      <c r="AJ263" s="33"/>
      <c r="AK263" s="33"/>
      <c r="AL263" s="33"/>
      <c r="AM263" s="34"/>
      <c r="AN263" s="34"/>
      <c r="AO263" s="34"/>
      <c r="AP263" s="34"/>
      <c r="AQ263" s="34"/>
      <c r="AR263" s="34"/>
      <c r="AS263" s="34"/>
      <c r="AT263" s="34"/>
      <c r="AU263" s="34"/>
      <c r="AV263" s="34"/>
      <c r="AW263" s="34"/>
      <c r="AX263" s="34"/>
      <c r="AY263" s="34"/>
      <c r="AZ263" s="34"/>
      <c r="BA263" s="34"/>
      <c r="BB263" s="34"/>
      <c r="BC263" s="34"/>
      <c r="BD263" s="34"/>
      <c r="BE263" s="34"/>
      <c r="BF263" s="34"/>
      <c r="BG263" s="34"/>
      <c r="BH263" s="34"/>
      <c r="BI263" s="34"/>
      <c r="BJ263" s="34"/>
      <c r="BK263" s="34"/>
      <c r="BL263" s="34"/>
      <c r="BM263" s="23"/>
      <c r="BN263" s="23"/>
      <c r="BO263" s="23"/>
    </row>
    <row r="264" spans="1:67" ht="7.5" customHeight="1" x14ac:dyDescent="0.25">
      <c r="A264" s="195"/>
      <c r="B264" s="194"/>
      <c r="C264" s="210"/>
      <c r="D264" s="235"/>
      <c r="E264" s="414"/>
      <c r="F264" s="235"/>
      <c r="G264" s="21"/>
      <c r="H264" s="235"/>
      <c r="I264" s="21"/>
    </row>
    <row r="265" spans="1:67" s="24" customFormat="1" x14ac:dyDescent="0.25">
      <c r="A265" s="193" t="s">
        <v>30</v>
      </c>
      <c r="B265" s="194" t="str">
        <f>Vertaling!A139</f>
        <v>Maand 6</v>
      </c>
      <c r="C265" s="210" t="str">
        <f>Vertaling!$A$34</f>
        <v>vul bedrag in:</v>
      </c>
      <c r="D265" s="234"/>
      <c r="E265" s="413"/>
      <c r="F265" s="234"/>
      <c r="G265" s="23"/>
      <c r="H265" s="234"/>
      <c r="I265" s="23"/>
      <c r="J265" s="33"/>
      <c r="K265" s="33"/>
      <c r="L265" s="33"/>
      <c r="M265" s="33"/>
      <c r="N265" s="33"/>
      <c r="O265" s="33"/>
      <c r="P265" s="33"/>
      <c r="Q265" s="33"/>
      <c r="R265" s="33"/>
      <c r="S265" s="33"/>
      <c r="T265" s="33"/>
      <c r="U265" s="33"/>
      <c r="V265" s="33"/>
      <c r="W265" s="33"/>
      <c r="X265" s="33"/>
      <c r="Y265" s="33"/>
      <c r="Z265" s="33"/>
      <c r="AA265" s="33"/>
      <c r="AB265" s="33"/>
      <c r="AC265" s="33"/>
      <c r="AD265" s="33"/>
      <c r="AE265" s="33"/>
      <c r="AF265" s="33"/>
      <c r="AG265" s="33"/>
      <c r="AH265" s="33"/>
      <c r="AI265" s="33"/>
      <c r="AJ265" s="33"/>
      <c r="AK265" s="33"/>
      <c r="AL265" s="33"/>
      <c r="AM265" s="34"/>
      <c r="AN265" s="34"/>
      <c r="AO265" s="34"/>
      <c r="AP265" s="34"/>
      <c r="AQ265" s="34"/>
      <c r="AR265" s="34"/>
      <c r="AS265" s="34"/>
      <c r="AT265" s="34"/>
      <c r="AU265" s="34"/>
      <c r="AV265" s="34"/>
      <c r="AW265" s="34"/>
      <c r="AX265" s="34"/>
      <c r="AY265" s="34"/>
      <c r="AZ265" s="34"/>
      <c r="BA265" s="34"/>
      <c r="BB265" s="34"/>
      <c r="BC265" s="34"/>
      <c r="BD265" s="34"/>
      <c r="BE265" s="34"/>
      <c r="BF265" s="34"/>
      <c r="BG265" s="34"/>
      <c r="BH265" s="34"/>
      <c r="BI265" s="34"/>
      <c r="BJ265" s="34"/>
      <c r="BK265" s="34"/>
      <c r="BL265" s="34"/>
      <c r="BM265" s="23"/>
      <c r="BN265" s="23"/>
      <c r="BO265" s="23"/>
    </row>
    <row r="266" spans="1:67" ht="7.5" customHeight="1" x14ac:dyDescent="0.25">
      <c r="A266" s="195"/>
      <c r="B266" s="194"/>
      <c r="C266" s="210"/>
      <c r="D266" s="235"/>
      <c r="E266" s="414"/>
      <c r="F266" s="235"/>
      <c r="G266" s="21"/>
      <c r="H266" s="235"/>
      <c r="I266" s="21"/>
    </row>
    <row r="267" spans="1:67" s="24" customFormat="1" x14ac:dyDescent="0.25">
      <c r="A267" s="193" t="s">
        <v>30</v>
      </c>
      <c r="B267" s="194" t="str">
        <f>Vertaling!A140</f>
        <v>Maand 7</v>
      </c>
      <c r="C267" s="210" t="str">
        <f>Vertaling!$A$34</f>
        <v>vul bedrag in:</v>
      </c>
      <c r="D267" s="234"/>
      <c r="E267" s="413"/>
      <c r="F267" s="234"/>
      <c r="G267" s="23"/>
      <c r="H267" s="234"/>
      <c r="I267" s="23"/>
      <c r="J267" s="33"/>
      <c r="K267" s="33"/>
      <c r="L267" s="33"/>
      <c r="M267" s="33"/>
      <c r="N267" s="33"/>
      <c r="O267" s="33"/>
      <c r="P267" s="33"/>
      <c r="Q267" s="33"/>
      <c r="R267" s="33"/>
      <c r="S267" s="33"/>
      <c r="T267" s="33"/>
      <c r="U267" s="33"/>
      <c r="V267" s="33"/>
      <c r="W267" s="33"/>
      <c r="X267" s="33"/>
      <c r="Y267" s="33"/>
      <c r="Z267" s="33"/>
      <c r="AA267" s="33"/>
      <c r="AB267" s="33"/>
      <c r="AC267" s="33"/>
      <c r="AD267" s="33"/>
      <c r="AE267" s="33"/>
      <c r="AF267" s="33"/>
      <c r="AG267" s="33"/>
      <c r="AH267" s="33"/>
      <c r="AI267" s="33"/>
      <c r="AJ267" s="33"/>
      <c r="AK267" s="33"/>
      <c r="AL267" s="33"/>
      <c r="AM267" s="34"/>
      <c r="AN267" s="34"/>
      <c r="AO267" s="34"/>
      <c r="AP267" s="34"/>
      <c r="AQ267" s="34"/>
      <c r="AR267" s="34"/>
      <c r="AS267" s="34"/>
      <c r="AT267" s="34"/>
      <c r="AU267" s="34"/>
      <c r="AV267" s="34"/>
      <c r="AW267" s="34"/>
      <c r="AX267" s="34"/>
      <c r="AY267" s="34"/>
      <c r="AZ267" s="34"/>
      <c r="BA267" s="34"/>
      <c r="BB267" s="34"/>
      <c r="BC267" s="34"/>
      <c r="BD267" s="34"/>
      <c r="BE267" s="34"/>
      <c r="BF267" s="34"/>
      <c r="BG267" s="34"/>
      <c r="BH267" s="34"/>
      <c r="BI267" s="34"/>
      <c r="BJ267" s="34"/>
      <c r="BK267" s="34"/>
      <c r="BL267" s="34"/>
      <c r="BM267" s="23"/>
      <c r="BN267" s="23"/>
      <c r="BO267" s="23"/>
    </row>
    <row r="268" spans="1:67" ht="7.5" customHeight="1" x14ac:dyDescent="0.25">
      <c r="A268" s="195"/>
      <c r="B268" s="194"/>
      <c r="C268" s="210"/>
      <c r="D268" s="235"/>
      <c r="E268" s="414"/>
      <c r="F268" s="235"/>
      <c r="G268" s="21"/>
      <c r="H268" s="235"/>
      <c r="I268" s="21"/>
    </row>
    <row r="269" spans="1:67" s="24" customFormat="1" x14ac:dyDescent="0.25">
      <c r="A269" s="193" t="s">
        <v>30</v>
      </c>
      <c r="B269" s="194" t="str">
        <f>Vertaling!A141</f>
        <v>Maand 8</v>
      </c>
      <c r="C269" s="210" t="str">
        <f>Vertaling!$A$34</f>
        <v>vul bedrag in:</v>
      </c>
      <c r="D269" s="234"/>
      <c r="E269" s="413"/>
      <c r="F269" s="234"/>
      <c r="G269" s="23"/>
      <c r="H269" s="234"/>
      <c r="I269" s="23"/>
      <c r="J269" s="33"/>
      <c r="K269" s="33"/>
      <c r="L269" s="33"/>
      <c r="M269" s="33"/>
      <c r="N269" s="33"/>
      <c r="O269" s="33"/>
      <c r="P269" s="33"/>
      <c r="Q269" s="33"/>
      <c r="R269" s="33"/>
      <c r="S269" s="33"/>
      <c r="T269" s="33"/>
      <c r="U269" s="33"/>
      <c r="V269" s="33"/>
      <c r="W269" s="33"/>
      <c r="X269" s="33"/>
      <c r="Y269" s="33"/>
      <c r="Z269" s="33"/>
      <c r="AA269" s="33"/>
      <c r="AB269" s="33"/>
      <c r="AC269" s="33"/>
      <c r="AD269" s="33"/>
      <c r="AE269" s="33"/>
      <c r="AF269" s="33"/>
      <c r="AG269" s="33"/>
      <c r="AH269" s="33"/>
      <c r="AI269" s="33"/>
      <c r="AJ269" s="33"/>
      <c r="AK269" s="33"/>
      <c r="AL269" s="33"/>
      <c r="AM269" s="34"/>
      <c r="AN269" s="34"/>
      <c r="AO269" s="34"/>
      <c r="AP269" s="34"/>
      <c r="AQ269" s="34"/>
      <c r="AR269" s="34"/>
      <c r="AS269" s="34"/>
      <c r="AT269" s="34"/>
      <c r="AU269" s="34"/>
      <c r="AV269" s="34"/>
      <c r="AW269" s="34"/>
      <c r="AX269" s="34"/>
      <c r="AY269" s="34"/>
      <c r="AZ269" s="34"/>
      <c r="BA269" s="34"/>
      <c r="BB269" s="34"/>
      <c r="BC269" s="34"/>
      <c r="BD269" s="34"/>
      <c r="BE269" s="34"/>
      <c r="BF269" s="34"/>
      <c r="BG269" s="34"/>
      <c r="BH269" s="34"/>
      <c r="BI269" s="34"/>
      <c r="BJ269" s="34"/>
      <c r="BK269" s="34"/>
      <c r="BL269" s="34"/>
      <c r="BM269" s="23"/>
      <c r="BN269" s="23"/>
      <c r="BO269" s="23"/>
    </row>
    <row r="270" spans="1:67" ht="7.5" customHeight="1" x14ac:dyDescent="0.25">
      <c r="A270" s="195"/>
      <c r="B270" s="194"/>
      <c r="C270" s="210"/>
      <c r="D270" s="235"/>
      <c r="E270" s="414"/>
      <c r="F270" s="235"/>
      <c r="G270" s="21"/>
      <c r="H270" s="235"/>
      <c r="I270" s="21"/>
    </row>
    <row r="271" spans="1:67" s="24" customFormat="1" x14ac:dyDescent="0.25">
      <c r="A271" s="193" t="s">
        <v>30</v>
      </c>
      <c r="B271" s="194" t="str">
        <f>Vertaling!A142</f>
        <v>Maand 9</v>
      </c>
      <c r="C271" s="210" t="str">
        <f>Vertaling!$A$34</f>
        <v>vul bedrag in:</v>
      </c>
      <c r="D271" s="234"/>
      <c r="E271" s="413"/>
      <c r="F271" s="234"/>
      <c r="G271" s="23"/>
      <c r="H271" s="234"/>
      <c r="I271" s="23"/>
      <c r="J271" s="33"/>
      <c r="K271" s="33"/>
      <c r="L271" s="33"/>
      <c r="M271" s="33"/>
      <c r="N271" s="33"/>
      <c r="O271" s="33"/>
      <c r="P271" s="33"/>
      <c r="Q271" s="33"/>
      <c r="R271" s="33"/>
      <c r="S271" s="33"/>
      <c r="T271" s="33"/>
      <c r="U271" s="33"/>
      <c r="V271" s="33"/>
      <c r="W271" s="33"/>
      <c r="X271" s="33"/>
      <c r="Y271" s="33"/>
      <c r="Z271" s="33"/>
      <c r="AA271" s="33"/>
      <c r="AB271" s="33"/>
      <c r="AC271" s="33"/>
      <c r="AD271" s="33"/>
      <c r="AE271" s="33"/>
      <c r="AF271" s="33"/>
      <c r="AG271" s="33"/>
      <c r="AH271" s="33"/>
      <c r="AI271" s="33"/>
      <c r="AJ271" s="33"/>
      <c r="AK271" s="33"/>
      <c r="AL271" s="33"/>
      <c r="AM271" s="34"/>
      <c r="AN271" s="34"/>
      <c r="AO271" s="34"/>
      <c r="AP271" s="34"/>
      <c r="AQ271" s="34"/>
      <c r="AR271" s="34"/>
      <c r="AS271" s="34"/>
      <c r="AT271" s="34"/>
      <c r="AU271" s="34"/>
      <c r="AV271" s="34"/>
      <c r="AW271" s="34"/>
      <c r="AX271" s="34"/>
      <c r="AY271" s="34"/>
      <c r="AZ271" s="34"/>
      <c r="BA271" s="34"/>
      <c r="BB271" s="34"/>
      <c r="BC271" s="34"/>
      <c r="BD271" s="34"/>
      <c r="BE271" s="34"/>
      <c r="BF271" s="34"/>
      <c r="BG271" s="34"/>
      <c r="BH271" s="34"/>
      <c r="BI271" s="34"/>
      <c r="BJ271" s="34"/>
      <c r="BK271" s="34"/>
      <c r="BL271" s="34"/>
      <c r="BM271" s="23"/>
      <c r="BN271" s="23"/>
      <c r="BO271" s="23"/>
    </row>
    <row r="272" spans="1:67" ht="7.5" customHeight="1" x14ac:dyDescent="0.25">
      <c r="A272" s="195"/>
      <c r="B272" s="194"/>
      <c r="C272" s="210"/>
      <c r="D272" s="235"/>
      <c r="E272" s="414"/>
      <c r="F272" s="235"/>
      <c r="G272" s="21"/>
      <c r="H272" s="235"/>
      <c r="I272" s="21"/>
    </row>
    <row r="273" spans="1:67" s="24" customFormat="1" x14ac:dyDescent="0.25">
      <c r="A273" s="193" t="s">
        <v>30</v>
      </c>
      <c r="B273" s="194" t="str">
        <f>Vertaling!A143</f>
        <v>Maand 10</v>
      </c>
      <c r="C273" s="210" t="str">
        <f>Vertaling!$A$34</f>
        <v>vul bedrag in:</v>
      </c>
      <c r="D273" s="234"/>
      <c r="E273" s="413"/>
      <c r="F273" s="234"/>
      <c r="G273" s="23"/>
      <c r="H273" s="234"/>
      <c r="I273" s="23"/>
      <c r="J273" s="33"/>
      <c r="K273" s="33"/>
      <c r="L273" s="33"/>
      <c r="M273" s="33"/>
      <c r="N273" s="33"/>
      <c r="O273" s="33"/>
      <c r="P273" s="33"/>
      <c r="Q273" s="33"/>
      <c r="R273" s="33"/>
      <c r="S273" s="33"/>
      <c r="T273" s="33"/>
      <c r="U273" s="33"/>
      <c r="V273" s="33"/>
      <c r="W273" s="33"/>
      <c r="X273" s="33"/>
      <c r="Y273" s="33"/>
      <c r="Z273" s="33"/>
      <c r="AA273" s="33"/>
      <c r="AB273" s="33"/>
      <c r="AC273" s="33"/>
      <c r="AD273" s="33"/>
      <c r="AE273" s="33"/>
      <c r="AF273" s="33"/>
      <c r="AG273" s="33"/>
      <c r="AH273" s="33"/>
      <c r="AI273" s="33"/>
      <c r="AJ273" s="33"/>
      <c r="AK273" s="33"/>
      <c r="AL273" s="33"/>
      <c r="AM273" s="34"/>
      <c r="AN273" s="34"/>
      <c r="AO273" s="34"/>
      <c r="AP273" s="34"/>
      <c r="AQ273" s="34"/>
      <c r="AR273" s="34"/>
      <c r="AS273" s="34"/>
      <c r="AT273" s="34"/>
      <c r="AU273" s="34"/>
      <c r="AV273" s="34"/>
      <c r="AW273" s="34"/>
      <c r="AX273" s="34"/>
      <c r="AY273" s="34"/>
      <c r="AZ273" s="34"/>
      <c r="BA273" s="34"/>
      <c r="BB273" s="34"/>
      <c r="BC273" s="34"/>
      <c r="BD273" s="34"/>
      <c r="BE273" s="34"/>
      <c r="BF273" s="34"/>
      <c r="BG273" s="34"/>
      <c r="BH273" s="34"/>
      <c r="BI273" s="34"/>
      <c r="BJ273" s="34"/>
      <c r="BK273" s="34"/>
      <c r="BL273" s="34"/>
      <c r="BM273" s="23"/>
      <c r="BN273" s="23"/>
      <c r="BO273" s="23"/>
    </row>
    <row r="274" spans="1:67" ht="7.5" customHeight="1" x14ac:dyDescent="0.25">
      <c r="A274" s="195"/>
      <c r="B274" s="194"/>
      <c r="C274" s="210"/>
      <c r="D274" s="235"/>
      <c r="E274" s="414"/>
      <c r="F274" s="235"/>
      <c r="G274" s="21"/>
      <c r="H274" s="235"/>
      <c r="I274" s="21"/>
    </row>
    <row r="275" spans="1:67" s="24" customFormat="1" x14ac:dyDescent="0.25">
      <c r="A275" s="193" t="s">
        <v>30</v>
      </c>
      <c r="B275" s="194" t="str">
        <f>Vertaling!A144</f>
        <v>Maand 11</v>
      </c>
      <c r="C275" s="210" t="str">
        <f>Vertaling!$A$34</f>
        <v>vul bedrag in:</v>
      </c>
      <c r="D275" s="234"/>
      <c r="E275" s="413"/>
      <c r="F275" s="234"/>
      <c r="G275" s="23"/>
      <c r="H275" s="234"/>
      <c r="I275" s="23"/>
      <c r="J275" s="33"/>
      <c r="K275" s="33"/>
      <c r="L275" s="33"/>
      <c r="M275" s="33"/>
      <c r="N275" s="33"/>
      <c r="O275" s="33"/>
      <c r="P275" s="33"/>
      <c r="Q275" s="33"/>
      <c r="R275" s="33"/>
      <c r="S275" s="33"/>
      <c r="T275" s="33"/>
      <c r="U275" s="33"/>
      <c r="V275" s="33"/>
      <c r="W275" s="33"/>
      <c r="X275" s="33"/>
      <c r="Y275" s="33"/>
      <c r="Z275" s="33"/>
      <c r="AA275" s="33"/>
      <c r="AB275" s="33"/>
      <c r="AC275" s="33"/>
      <c r="AD275" s="33"/>
      <c r="AE275" s="33"/>
      <c r="AF275" s="33"/>
      <c r="AG275" s="33"/>
      <c r="AH275" s="33"/>
      <c r="AI275" s="33"/>
      <c r="AJ275" s="33"/>
      <c r="AK275" s="33"/>
      <c r="AL275" s="33"/>
      <c r="AM275" s="34"/>
      <c r="AN275" s="34"/>
      <c r="AO275" s="34"/>
      <c r="AP275" s="34"/>
      <c r="AQ275" s="34"/>
      <c r="AR275" s="34"/>
      <c r="AS275" s="34"/>
      <c r="AT275" s="34"/>
      <c r="AU275" s="34"/>
      <c r="AV275" s="34"/>
      <c r="AW275" s="34"/>
      <c r="AX275" s="34"/>
      <c r="AY275" s="34"/>
      <c r="AZ275" s="34"/>
      <c r="BA275" s="34"/>
      <c r="BB275" s="34"/>
      <c r="BC275" s="34"/>
      <c r="BD275" s="34"/>
      <c r="BE275" s="34"/>
      <c r="BF275" s="34"/>
      <c r="BG275" s="34"/>
      <c r="BH275" s="34"/>
      <c r="BI275" s="34"/>
      <c r="BJ275" s="34"/>
      <c r="BK275" s="34"/>
      <c r="BL275" s="34"/>
      <c r="BM275" s="23"/>
      <c r="BN275" s="23"/>
      <c r="BO275" s="23"/>
    </row>
    <row r="276" spans="1:67" ht="7.5" customHeight="1" x14ac:dyDescent="0.25">
      <c r="A276" s="195"/>
      <c r="B276" s="194"/>
      <c r="C276" s="210"/>
      <c r="D276" s="235"/>
      <c r="E276" s="414"/>
      <c r="F276" s="235"/>
      <c r="G276" s="21"/>
      <c r="H276" s="235"/>
      <c r="I276" s="21"/>
    </row>
    <row r="277" spans="1:67" s="24" customFormat="1" x14ac:dyDescent="0.25">
      <c r="A277" s="187" t="s">
        <v>30</v>
      </c>
      <c r="B277" s="194" t="str">
        <f>Vertaling!A145</f>
        <v>Maand 12</v>
      </c>
      <c r="C277" s="210" t="str">
        <f>Vertaling!$A$34</f>
        <v>vul bedrag in:</v>
      </c>
      <c r="D277" s="234"/>
      <c r="E277" s="413"/>
      <c r="F277" s="234"/>
      <c r="G277" s="23"/>
      <c r="H277" s="234"/>
      <c r="I277" s="23"/>
      <c r="J277" s="33"/>
      <c r="K277" s="33"/>
      <c r="L277" s="33"/>
      <c r="M277" s="33"/>
      <c r="N277" s="33"/>
      <c r="O277" s="33"/>
      <c r="P277" s="33"/>
      <c r="Q277" s="33"/>
      <c r="R277" s="33"/>
      <c r="S277" s="33"/>
      <c r="T277" s="33"/>
      <c r="U277" s="33"/>
      <c r="V277" s="33"/>
      <c r="W277" s="33"/>
      <c r="X277" s="33"/>
      <c r="Y277" s="33"/>
      <c r="Z277" s="33"/>
      <c r="AA277" s="33"/>
      <c r="AB277" s="33"/>
      <c r="AC277" s="33"/>
      <c r="AD277" s="33"/>
      <c r="AE277" s="33"/>
      <c r="AF277" s="33"/>
      <c r="AG277" s="33"/>
      <c r="AH277" s="33"/>
      <c r="AI277" s="33"/>
      <c r="AJ277" s="33"/>
      <c r="AK277" s="33"/>
      <c r="AL277" s="33"/>
      <c r="AM277" s="34"/>
      <c r="AN277" s="34"/>
      <c r="AO277" s="34"/>
      <c r="AP277" s="34"/>
      <c r="AQ277" s="34"/>
      <c r="AR277" s="34"/>
      <c r="AS277" s="34"/>
      <c r="AT277" s="34"/>
      <c r="AU277" s="34"/>
      <c r="AV277" s="34"/>
      <c r="AW277" s="34"/>
      <c r="AX277" s="34"/>
      <c r="AY277" s="34"/>
      <c r="AZ277" s="34"/>
      <c r="BA277" s="34"/>
      <c r="BB277" s="34"/>
      <c r="BC277" s="34"/>
      <c r="BD277" s="34"/>
      <c r="BE277" s="34"/>
      <c r="BF277" s="34"/>
      <c r="BG277" s="34"/>
      <c r="BH277" s="34"/>
      <c r="BI277" s="34"/>
      <c r="BJ277" s="34"/>
      <c r="BK277" s="34"/>
      <c r="BL277" s="34"/>
      <c r="BM277" s="23"/>
      <c r="BN277" s="23"/>
      <c r="BO277" s="23"/>
    </row>
    <row r="278" spans="1:67" s="24" customFormat="1" ht="7.5" customHeight="1" x14ac:dyDescent="0.25">
      <c r="A278" s="193"/>
      <c r="B278" s="194"/>
      <c r="C278" s="210"/>
      <c r="D278" s="413"/>
      <c r="E278" s="413"/>
      <c r="F278" s="413"/>
      <c r="G278" s="437"/>
      <c r="H278" s="413"/>
      <c r="I278" s="23"/>
      <c r="J278" s="33"/>
      <c r="K278" s="33"/>
      <c r="L278" s="33"/>
      <c r="M278" s="33"/>
      <c r="N278" s="33"/>
      <c r="O278" s="33"/>
      <c r="P278" s="33"/>
      <c r="Q278" s="33"/>
      <c r="R278" s="33"/>
      <c r="S278" s="33"/>
      <c r="T278" s="33"/>
      <c r="U278" s="33"/>
      <c r="V278" s="33"/>
      <c r="W278" s="33"/>
      <c r="X278" s="33"/>
      <c r="Y278" s="33"/>
      <c r="Z278" s="33"/>
      <c r="AA278" s="33"/>
      <c r="AB278" s="33"/>
      <c r="AC278" s="33"/>
      <c r="AD278" s="33"/>
      <c r="AE278" s="33"/>
      <c r="AF278" s="33"/>
      <c r="AG278" s="33"/>
      <c r="AH278" s="33"/>
      <c r="AI278" s="33"/>
      <c r="AJ278" s="33"/>
      <c r="AK278" s="33"/>
      <c r="AL278" s="33"/>
      <c r="AM278" s="34"/>
      <c r="AN278" s="34"/>
      <c r="AO278" s="34"/>
      <c r="AP278" s="34"/>
      <c r="AQ278" s="34"/>
      <c r="AR278" s="34"/>
      <c r="AS278" s="34"/>
      <c r="AT278" s="34"/>
      <c r="AU278" s="34"/>
      <c r="AV278" s="34"/>
      <c r="AW278" s="34"/>
      <c r="AX278" s="34"/>
      <c r="AY278" s="34"/>
      <c r="AZ278" s="34"/>
      <c r="BA278" s="34"/>
      <c r="BB278" s="34"/>
      <c r="BC278" s="34"/>
      <c r="BD278" s="34"/>
      <c r="BE278" s="34"/>
      <c r="BF278" s="34"/>
      <c r="BG278" s="34"/>
      <c r="BH278" s="34"/>
      <c r="BI278" s="34"/>
      <c r="BJ278" s="34"/>
      <c r="BK278" s="34"/>
      <c r="BL278" s="34"/>
      <c r="BM278" s="23"/>
      <c r="BN278" s="23"/>
      <c r="BO278" s="23"/>
    </row>
    <row r="279" spans="1:67" s="24" customFormat="1" x14ac:dyDescent="0.25">
      <c r="A279" s="187" t="s">
        <v>30</v>
      </c>
      <c r="B279" s="194" t="str">
        <f>Vertaling!A146</f>
        <v>Maand 13</v>
      </c>
      <c r="C279" s="210" t="str">
        <f>Vertaling!$A$34</f>
        <v>vul bedrag in:</v>
      </c>
      <c r="D279" s="234"/>
      <c r="E279" s="413"/>
      <c r="F279" s="234"/>
      <c r="G279" s="23"/>
      <c r="H279" s="234"/>
      <c r="I279" s="23"/>
      <c r="J279" s="33"/>
      <c r="K279" s="33"/>
      <c r="L279" s="33"/>
      <c r="M279" s="33"/>
      <c r="N279" s="33"/>
      <c r="O279" s="33"/>
      <c r="P279" s="33"/>
      <c r="Q279" s="33"/>
      <c r="R279" s="33"/>
      <c r="S279" s="33"/>
      <c r="T279" s="33"/>
      <c r="U279" s="33"/>
      <c r="V279" s="33"/>
      <c r="W279" s="33"/>
      <c r="X279" s="33"/>
      <c r="Y279" s="33"/>
      <c r="Z279" s="33"/>
      <c r="AA279" s="33"/>
      <c r="AB279" s="33"/>
      <c r="AC279" s="33"/>
      <c r="AD279" s="33"/>
      <c r="AE279" s="33"/>
      <c r="AF279" s="33"/>
      <c r="AG279" s="33"/>
      <c r="AH279" s="33"/>
      <c r="AI279" s="33"/>
      <c r="AJ279" s="33"/>
      <c r="AK279" s="33"/>
      <c r="AL279" s="33"/>
      <c r="AM279" s="34"/>
      <c r="AN279" s="34"/>
      <c r="AO279" s="34"/>
      <c r="AP279" s="34"/>
      <c r="AQ279" s="34"/>
      <c r="AR279" s="34"/>
      <c r="AS279" s="34"/>
      <c r="AT279" s="34"/>
      <c r="AU279" s="34"/>
      <c r="AV279" s="34"/>
      <c r="AW279" s="34"/>
      <c r="AX279" s="34"/>
      <c r="AY279" s="34"/>
      <c r="AZ279" s="34"/>
      <c r="BA279" s="34"/>
      <c r="BB279" s="34"/>
      <c r="BC279" s="34"/>
      <c r="BD279" s="34"/>
      <c r="BE279" s="34"/>
      <c r="BF279" s="34"/>
      <c r="BG279" s="34"/>
      <c r="BH279" s="34"/>
      <c r="BI279" s="34"/>
      <c r="BJ279" s="34"/>
      <c r="BK279" s="34"/>
      <c r="BL279" s="34"/>
      <c r="BM279" s="23"/>
      <c r="BN279" s="23"/>
      <c r="BO279" s="23"/>
    </row>
    <row r="280" spans="1:67" s="24" customFormat="1" ht="7.5" customHeight="1" x14ac:dyDescent="0.25">
      <c r="A280" s="193"/>
      <c r="B280" s="194"/>
      <c r="C280" s="210"/>
      <c r="D280" s="235"/>
      <c r="E280" s="414"/>
      <c r="F280" s="235"/>
      <c r="G280" s="21"/>
      <c r="H280" s="235"/>
      <c r="I280" s="23"/>
      <c r="J280" s="33"/>
      <c r="K280" s="33"/>
      <c r="L280" s="33"/>
      <c r="M280" s="33"/>
      <c r="N280" s="33"/>
      <c r="O280" s="33"/>
      <c r="P280" s="33"/>
      <c r="Q280" s="33"/>
      <c r="R280" s="33"/>
      <c r="S280" s="33"/>
      <c r="T280" s="33"/>
      <c r="U280" s="33"/>
      <c r="V280" s="33"/>
      <c r="W280" s="33"/>
      <c r="X280" s="33"/>
      <c r="Y280" s="33"/>
      <c r="Z280" s="33"/>
      <c r="AA280" s="33"/>
      <c r="AB280" s="33"/>
      <c r="AC280" s="33"/>
      <c r="AD280" s="33"/>
      <c r="AE280" s="33"/>
      <c r="AF280" s="33"/>
      <c r="AG280" s="33"/>
      <c r="AH280" s="33"/>
      <c r="AI280" s="33"/>
      <c r="AJ280" s="33"/>
      <c r="AK280" s="33"/>
      <c r="AL280" s="33"/>
      <c r="AM280" s="34"/>
      <c r="AN280" s="34"/>
      <c r="AO280" s="34"/>
      <c r="AP280" s="34"/>
      <c r="AQ280" s="34"/>
      <c r="AR280" s="34"/>
      <c r="AS280" s="34"/>
      <c r="AT280" s="34"/>
      <c r="AU280" s="34"/>
      <c r="AV280" s="34"/>
      <c r="AW280" s="34"/>
      <c r="AX280" s="34"/>
      <c r="AY280" s="34"/>
      <c r="AZ280" s="34"/>
      <c r="BA280" s="34"/>
      <c r="BB280" s="34"/>
      <c r="BC280" s="34"/>
      <c r="BD280" s="34"/>
      <c r="BE280" s="34"/>
      <c r="BF280" s="34"/>
      <c r="BG280" s="34"/>
      <c r="BH280" s="34"/>
      <c r="BI280" s="34"/>
      <c r="BJ280" s="34"/>
      <c r="BK280" s="34"/>
      <c r="BL280" s="34"/>
      <c r="BM280" s="23"/>
      <c r="BN280" s="23"/>
      <c r="BO280" s="23"/>
    </row>
    <row r="281" spans="1:67" s="24" customFormat="1" x14ac:dyDescent="0.25">
      <c r="A281" s="187" t="s">
        <v>30</v>
      </c>
      <c r="B281" s="194" t="str">
        <f>Vertaling!A147</f>
        <v>Maand 14</v>
      </c>
      <c r="C281" s="210" t="str">
        <f>Vertaling!$A$34</f>
        <v>vul bedrag in:</v>
      </c>
      <c r="D281" s="234"/>
      <c r="E281" s="413"/>
      <c r="F281" s="234"/>
      <c r="G281" s="23"/>
      <c r="H281" s="234"/>
      <c r="I281" s="23"/>
      <c r="J281" s="33"/>
      <c r="K281" s="33"/>
      <c r="L281" s="33"/>
      <c r="M281" s="33"/>
      <c r="N281" s="33"/>
      <c r="O281" s="33"/>
      <c r="P281" s="33"/>
      <c r="Q281" s="33"/>
      <c r="R281" s="33"/>
      <c r="S281" s="33"/>
      <c r="T281" s="33"/>
      <c r="U281" s="33"/>
      <c r="V281" s="33"/>
      <c r="W281" s="33"/>
      <c r="X281" s="33"/>
      <c r="Y281" s="33"/>
      <c r="Z281" s="33"/>
      <c r="AA281" s="33"/>
      <c r="AB281" s="33"/>
      <c r="AC281" s="33"/>
      <c r="AD281" s="33"/>
      <c r="AE281" s="33"/>
      <c r="AF281" s="33"/>
      <c r="AG281" s="33"/>
      <c r="AH281" s="33"/>
      <c r="AI281" s="33"/>
      <c r="AJ281" s="33"/>
      <c r="AK281" s="33"/>
      <c r="AL281" s="33"/>
      <c r="AM281" s="34"/>
      <c r="AN281" s="34"/>
      <c r="AO281" s="34"/>
      <c r="AP281" s="34"/>
      <c r="AQ281" s="34"/>
      <c r="AR281" s="34"/>
      <c r="AS281" s="34"/>
      <c r="AT281" s="34"/>
      <c r="AU281" s="34"/>
      <c r="AV281" s="34"/>
      <c r="AW281" s="34"/>
      <c r="AX281" s="34"/>
      <c r="AY281" s="34"/>
      <c r="AZ281" s="34"/>
      <c r="BA281" s="34"/>
      <c r="BB281" s="34"/>
      <c r="BC281" s="34"/>
      <c r="BD281" s="34"/>
      <c r="BE281" s="34"/>
      <c r="BF281" s="34"/>
      <c r="BG281" s="34"/>
      <c r="BH281" s="34"/>
      <c r="BI281" s="34"/>
      <c r="BJ281" s="34"/>
      <c r="BK281" s="34"/>
      <c r="BL281" s="34"/>
      <c r="BM281" s="23"/>
      <c r="BN281" s="23"/>
      <c r="BO281" s="23"/>
    </row>
    <row r="282" spans="1:67" s="24" customFormat="1" ht="7.5" customHeight="1" x14ac:dyDescent="0.25">
      <c r="A282" s="193"/>
      <c r="B282" s="194"/>
      <c r="C282" s="210"/>
      <c r="D282" s="235"/>
      <c r="E282" s="414"/>
      <c r="F282" s="235"/>
      <c r="G282" s="21"/>
      <c r="H282" s="235"/>
      <c r="I282" s="23"/>
      <c r="J282" s="33"/>
      <c r="K282" s="33"/>
      <c r="L282" s="33"/>
      <c r="M282" s="33"/>
      <c r="N282" s="33"/>
      <c r="O282" s="33"/>
      <c r="P282" s="33"/>
      <c r="Q282" s="33"/>
      <c r="R282" s="33"/>
      <c r="S282" s="33"/>
      <c r="T282" s="33"/>
      <c r="U282" s="33"/>
      <c r="V282" s="33"/>
      <c r="W282" s="33"/>
      <c r="X282" s="33"/>
      <c r="Y282" s="33"/>
      <c r="Z282" s="33"/>
      <c r="AA282" s="33"/>
      <c r="AB282" s="33"/>
      <c r="AC282" s="33"/>
      <c r="AD282" s="33"/>
      <c r="AE282" s="33"/>
      <c r="AF282" s="33"/>
      <c r="AG282" s="33"/>
      <c r="AH282" s="33"/>
      <c r="AI282" s="33"/>
      <c r="AJ282" s="33"/>
      <c r="AK282" s="33"/>
      <c r="AL282" s="33"/>
      <c r="AM282" s="34"/>
      <c r="AN282" s="34"/>
      <c r="AO282" s="34"/>
      <c r="AP282" s="34"/>
      <c r="AQ282" s="34"/>
      <c r="AR282" s="34"/>
      <c r="AS282" s="34"/>
      <c r="AT282" s="34"/>
      <c r="AU282" s="34"/>
      <c r="AV282" s="34"/>
      <c r="AW282" s="34"/>
      <c r="AX282" s="34"/>
      <c r="AY282" s="34"/>
      <c r="AZ282" s="34"/>
      <c r="BA282" s="34"/>
      <c r="BB282" s="34"/>
      <c r="BC282" s="34"/>
      <c r="BD282" s="34"/>
      <c r="BE282" s="34"/>
      <c r="BF282" s="34"/>
      <c r="BG282" s="34"/>
      <c r="BH282" s="34"/>
      <c r="BI282" s="34"/>
      <c r="BJ282" s="34"/>
      <c r="BK282" s="34"/>
      <c r="BL282" s="34"/>
      <c r="BM282" s="23"/>
      <c r="BN282" s="23"/>
      <c r="BO282" s="23"/>
    </row>
    <row r="283" spans="1:67" s="24" customFormat="1" x14ac:dyDescent="0.25">
      <c r="A283" s="187" t="s">
        <v>30</v>
      </c>
      <c r="B283" s="194" t="str">
        <f>Vertaling!A148</f>
        <v>Maand 15</v>
      </c>
      <c r="C283" s="210" t="str">
        <f>Vertaling!$A$34</f>
        <v>vul bedrag in:</v>
      </c>
      <c r="D283" s="234"/>
      <c r="E283" s="413"/>
      <c r="F283" s="234"/>
      <c r="G283" s="23"/>
      <c r="H283" s="234"/>
      <c r="I283" s="23"/>
      <c r="J283" s="33"/>
      <c r="K283" s="33"/>
      <c r="L283" s="33"/>
      <c r="M283" s="33"/>
      <c r="N283" s="33"/>
      <c r="O283" s="33"/>
      <c r="P283" s="33"/>
      <c r="Q283" s="33"/>
      <c r="R283" s="33"/>
      <c r="S283" s="33"/>
      <c r="T283" s="33"/>
      <c r="U283" s="33"/>
      <c r="V283" s="33"/>
      <c r="W283" s="33"/>
      <c r="X283" s="33"/>
      <c r="Y283" s="33"/>
      <c r="Z283" s="33"/>
      <c r="AA283" s="33"/>
      <c r="AB283" s="33"/>
      <c r="AC283" s="33"/>
      <c r="AD283" s="33"/>
      <c r="AE283" s="33"/>
      <c r="AF283" s="33"/>
      <c r="AG283" s="33"/>
      <c r="AH283" s="33"/>
      <c r="AI283" s="33"/>
      <c r="AJ283" s="33"/>
      <c r="AK283" s="33"/>
      <c r="AL283" s="33"/>
      <c r="AM283" s="34"/>
      <c r="AN283" s="34"/>
      <c r="AO283" s="34"/>
      <c r="AP283" s="34"/>
      <c r="AQ283" s="34"/>
      <c r="AR283" s="34"/>
      <c r="AS283" s="34"/>
      <c r="AT283" s="34"/>
      <c r="AU283" s="34"/>
      <c r="AV283" s="34"/>
      <c r="AW283" s="34"/>
      <c r="AX283" s="34"/>
      <c r="AY283" s="34"/>
      <c r="AZ283" s="34"/>
      <c r="BA283" s="34"/>
      <c r="BB283" s="34"/>
      <c r="BC283" s="34"/>
      <c r="BD283" s="34"/>
      <c r="BE283" s="34"/>
      <c r="BF283" s="34"/>
      <c r="BG283" s="34"/>
      <c r="BH283" s="34"/>
      <c r="BI283" s="34"/>
      <c r="BJ283" s="34"/>
      <c r="BK283" s="34"/>
      <c r="BL283" s="34"/>
      <c r="BM283" s="23"/>
      <c r="BN283" s="23"/>
      <c r="BO283" s="23"/>
    </row>
    <row r="284" spans="1:67" s="24" customFormat="1" ht="7.5" customHeight="1" x14ac:dyDescent="0.25">
      <c r="A284" s="193"/>
      <c r="B284" s="194"/>
      <c r="C284" s="210"/>
      <c r="D284" s="235"/>
      <c r="E284" s="414"/>
      <c r="F284" s="235"/>
      <c r="G284" s="21"/>
      <c r="H284" s="235"/>
      <c r="I284" s="23"/>
      <c r="J284" s="33"/>
      <c r="K284" s="33"/>
      <c r="L284" s="33"/>
      <c r="M284" s="33"/>
      <c r="N284" s="33"/>
      <c r="O284" s="33"/>
      <c r="P284" s="33"/>
      <c r="Q284" s="33"/>
      <c r="R284" s="33"/>
      <c r="S284" s="33"/>
      <c r="T284" s="33"/>
      <c r="U284" s="33"/>
      <c r="V284" s="33"/>
      <c r="W284" s="33"/>
      <c r="X284" s="33"/>
      <c r="Y284" s="33"/>
      <c r="Z284" s="33"/>
      <c r="AA284" s="33"/>
      <c r="AB284" s="33"/>
      <c r="AC284" s="33"/>
      <c r="AD284" s="33"/>
      <c r="AE284" s="33"/>
      <c r="AF284" s="33"/>
      <c r="AG284" s="33"/>
      <c r="AH284" s="33"/>
      <c r="AI284" s="33"/>
      <c r="AJ284" s="33"/>
      <c r="AK284" s="33"/>
      <c r="AL284" s="33"/>
      <c r="AM284" s="34"/>
      <c r="AN284" s="34"/>
      <c r="AO284" s="34"/>
      <c r="AP284" s="34"/>
      <c r="AQ284" s="34"/>
      <c r="AR284" s="34"/>
      <c r="AS284" s="34"/>
      <c r="AT284" s="34"/>
      <c r="AU284" s="34"/>
      <c r="AV284" s="34"/>
      <c r="AW284" s="34"/>
      <c r="AX284" s="34"/>
      <c r="AY284" s="34"/>
      <c r="AZ284" s="34"/>
      <c r="BA284" s="34"/>
      <c r="BB284" s="34"/>
      <c r="BC284" s="34"/>
      <c r="BD284" s="34"/>
      <c r="BE284" s="34"/>
      <c r="BF284" s="34"/>
      <c r="BG284" s="34"/>
      <c r="BH284" s="34"/>
      <c r="BI284" s="34"/>
      <c r="BJ284" s="34"/>
      <c r="BK284" s="34"/>
      <c r="BL284" s="34"/>
      <c r="BM284" s="23"/>
      <c r="BN284" s="23"/>
      <c r="BO284" s="23"/>
    </row>
    <row r="285" spans="1:67" s="24" customFormat="1" x14ac:dyDescent="0.25">
      <c r="A285" s="187" t="s">
        <v>30</v>
      </c>
      <c r="B285" s="194" t="str">
        <f>Vertaling!A149</f>
        <v>Maand 16</v>
      </c>
      <c r="C285" s="210" t="str">
        <f>Vertaling!$A$34</f>
        <v>vul bedrag in:</v>
      </c>
      <c r="D285" s="234"/>
      <c r="E285" s="413"/>
      <c r="F285" s="234"/>
      <c r="G285" s="23"/>
      <c r="H285" s="234"/>
      <c r="I285" s="23"/>
      <c r="J285" s="33"/>
      <c r="K285" s="33"/>
      <c r="L285" s="33"/>
      <c r="M285" s="33"/>
      <c r="N285" s="33"/>
      <c r="O285" s="33"/>
      <c r="P285" s="33"/>
      <c r="Q285" s="33"/>
      <c r="R285" s="33"/>
      <c r="S285" s="33"/>
      <c r="T285" s="33"/>
      <c r="U285" s="33"/>
      <c r="V285" s="33"/>
      <c r="W285" s="33"/>
      <c r="X285" s="33"/>
      <c r="Y285" s="33"/>
      <c r="Z285" s="33"/>
      <c r="AA285" s="33"/>
      <c r="AB285" s="33"/>
      <c r="AC285" s="33"/>
      <c r="AD285" s="33"/>
      <c r="AE285" s="33"/>
      <c r="AF285" s="33"/>
      <c r="AG285" s="33"/>
      <c r="AH285" s="33"/>
      <c r="AI285" s="33"/>
      <c r="AJ285" s="33"/>
      <c r="AK285" s="33"/>
      <c r="AL285" s="33"/>
      <c r="AM285" s="34"/>
      <c r="AN285" s="34"/>
      <c r="AO285" s="34"/>
      <c r="AP285" s="34"/>
      <c r="AQ285" s="34"/>
      <c r="AR285" s="34"/>
      <c r="AS285" s="34"/>
      <c r="AT285" s="34"/>
      <c r="AU285" s="34"/>
      <c r="AV285" s="34"/>
      <c r="AW285" s="34"/>
      <c r="AX285" s="34"/>
      <c r="AY285" s="34"/>
      <c r="AZ285" s="34"/>
      <c r="BA285" s="34"/>
      <c r="BB285" s="34"/>
      <c r="BC285" s="34"/>
      <c r="BD285" s="34"/>
      <c r="BE285" s="34"/>
      <c r="BF285" s="34"/>
      <c r="BG285" s="34"/>
      <c r="BH285" s="34"/>
      <c r="BI285" s="34"/>
      <c r="BJ285" s="34"/>
      <c r="BK285" s="34"/>
      <c r="BL285" s="34"/>
      <c r="BM285" s="23"/>
      <c r="BN285" s="23"/>
      <c r="BO285" s="23"/>
    </row>
    <row r="286" spans="1:67" s="24" customFormat="1" ht="7.5" customHeight="1" x14ac:dyDescent="0.25">
      <c r="A286" s="193"/>
      <c r="B286" s="194"/>
      <c r="C286" s="210"/>
      <c r="D286" s="235"/>
      <c r="E286" s="414"/>
      <c r="F286" s="235"/>
      <c r="G286" s="21"/>
      <c r="H286" s="235"/>
      <c r="I286" s="23"/>
      <c r="J286" s="33"/>
      <c r="K286" s="33"/>
      <c r="L286" s="33"/>
      <c r="M286" s="33"/>
      <c r="N286" s="33"/>
      <c r="O286" s="33"/>
      <c r="P286" s="33"/>
      <c r="Q286" s="33"/>
      <c r="R286" s="33"/>
      <c r="S286" s="33"/>
      <c r="T286" s="33"/>
      <c r="U286" s="33"/>
      <c r="V286" s="33"/>
      <c r="W286" s="33"/>
      <c r="X286" s="33"/>
      <c r="Y286" s="33"/>
      <c r="Z286" s="33"/>
      <c r="AA286" s="33"/>
      <c r="AB286" s="33"/>
      <c r="AC286" s="33"/>
      <c r="AD286" s="33"/>
      <c r="AE286" s="33"/>
      <c r="AF286" s="33"/>
      <c r="AG286" s="33"/>
      <c r="AH286" s="33"/>
      <c r="AI286" s="33"/>
      <c r="AJ286" s="33"/>
      <c r="AK286" s="33"/>
      <c r="AL286" s="33"/>
      <c r="AM286" s="34"/>
      <c r="AN286" s="34"/>
      <c r="AO286" s="34"/>
      <c r="AP286" s="34"/>
      <c r="AQ286" s="34"/>
      <c r="AR286" s="34"/>
      <c r="AS286" s="34"/>
      <c r="AT286" s="34"/>
      <c r="AU286" s="34"/>
      <c r="AV286" s="34"/>
      <c r="AW286" s="34"/>
      <c r="AX286" s="34"/>
      <c r="AY286" s="34"/>
      <c r="AZ286" s="34"/>
      <c r="BA286" s="34"/>
      <c r="BB286" s="34"/>
      <c r="BC286" s="34"/>
      <c r="BD286" s="34"/>
      <c r="BE286" s="34"/>
      <c r="BF286" s="34"/>
      <c r="BG286" s="34"/>
      <c r="BH286" s="34"/>
      <c r="BI286" s="34"/>
      <c r="BJ286" s="34"/>
      <c r="BK286" s="34"/>
      <c r="BL286" s="34"/>
      <c r="BM286" s="23"/>
      <c r="BN286" s="23"/>
      <c r="BO286" s="23"/>
    </row>
    <row r="287" spans="1:67" s="24" customFormat="1" x14ac:dyDescent="0.25">
      <c r="A287" s="187" t="s">
        <v>30</v>
      </c>
      <c r="B287" s="194" t="str">
        <f>Vertaling!A150</f>
        <v>Maand 17</v>
      </c>
      <c r="C287" s="210" t="str">
        <f>Vertaling!$A$34</f>
        <v>vul bedrag in:</v>
      </c>
      <c r="D287" s="234"/>
      <c r="E287" s="413"/>
      <c r="F287" s="234"/>
      <c r="G287" s="23"/>
      <c r="H287" s="234"/>
      <c r="I287" s="23"/>
      <c r="J287" s="33"/>
      <c r="K287" s="33"/>
      <c r="L287" s="33"/>
      <c r="M287" s="33"/>
      <c r="N287" s="33"/>
      <c r="O287" s="33"/>
      <c r="P287" s="33"/>
      <c r="Q287" s="33"/>
      <c r="R287" s="33"/>
      <c r="S287" s="33"/>
      <c r="T287" s="33"/>
      <c r="U287" s="33"/>
      <c r="V287" s="33"/>
      <c r="W287" s="33"/>
      <c r="X287" s="33"/>
      <c r="Y287" s="33"/>
      <c r="Z287" s="33"/>
      <c r="AA287" s="33"/>
      <c r="AB287" s="33"/>
      <c r="AC287" s="33"/>
      <c r="AD287" s="33"/>
      <c r="AE287" s="33"/>
      <c r="AF287" s="33"/>
      <c r="AG287" s="33"/>
      <c r="AH287" s="33"/>
      <c r="AI287" s="33"/>
      <c r="AJ287" s="33"/>
      <c r="AK287" s="33"/>
      <c r="AL287" s="33"/>
      <c r="AM287" s="34"/>
      <c r="AN287" s="34"/>
      <c r="AO287" s="34"/>
      <c r="AP287" s="34"/>
      <c r="AQ287" s="34"/>
      <c r="AR287" s="34"/>
      <c r="AS287" s="34"/>
      <c r="AT287" s="34"/>
      <c r="AU287" s="34"/>
      <c r="AV287" s="34"/>
      <c r="AW287" s="34"/>
      <c r="AX287" s="34"/>
      <c r="AY287" s="34"/>
      <c r="AZ287" s="34"/>
      <c r="BA287" s="34"/>
      <c r="BB287" s="34"/>
      <c r="BC287" s="34"/>
      <c r="BD287" s="34"/>
      <c r="BE287" s="34"/>
      <c r="BF287" s="34"/>
      <c r="BG287" s="34"/>
      <c r="BH287" s="34"/>
      <c r="BI287" s="34"/>
      <c r="BJ287" s="34"/>
      <c r="BK287" s="34"/>
      <c r="BL287" s="34"/>
      <c r="BM287" s="23"/>
      <c r="BN287" s="23"/>
      <c r="BO287" s="23"/>
    </row>
    <row r="288" spans="1:67" s="24" customFormat="1" ht="7.5" customHeight="1" x14ac:dyDescent="0.25">
      <c r="A288" s="193"/>
      <c r="B288" s="194"/>
      <c r="C288" s="210"/>
      <c r="D288" s="235"/>
      <c r="E288" s="414"/>
      <c r="F288" s="235"/>
      <c r="G288" s="21"/>
      <c r="H288" s="235"/>
      <c r="I288" s="23"/>
      <c r="J288" s="33"/>
      <c r="K288" s="33"/>
      <c r="L288" s="33"/>
      <c r="M288" s="33"/>
      <c r="N288" s="33"/>
      <c r="O288" s="33"/>
      <c r="P288" s="33"/>
      <c r="Q288" s="33"/>
      <c r="R288" s="33"/>
      <c r="S288" s="33"/>
      <c r="T288" s="33"/>
      <c r="U288" s="33"/>
      <c r="V288" s="33"/>
      <c r="W288" s="33"/>
      <c r="X288" s="33"/>
      <c r="Y288" s="33"/>
      <c r="Z288" s="33"/>
      <c r="AA288" s="33"/>
      <c r="AB288" s="33"/>
      <c r="AC288" s="33"/>
      <c r="AD288" s="33"/>
      <c r="AE288" s="33"/>
      <c r="AF288" s="33"/>
      <c r="AG288" s="33"/>
      <c r="AH288" s="33"/>
      <c r="AI288" s="33"/>
      <c r="AJ288" s="33"/>
      <c r="AK288" s="33"/>
      <c r="AL288" s="33"/>
      <c r="AM288" s="34"/>
      <c r="AN288" s="34"/>
      <c r="AO288" s="34"/>
      <c r="AP288" s="34"/>
      <c r="AQ288" s="34"/>
      <c r="AR288" s="34"/>
      <c r="AS288" s="34"/>
      <c r="AT288" s="34"/>
      <c r="AU288" s="34"/>
      <c r="AV288" s="34"/>
      <c r="AW288" s="34"/>
      <c r="AX288" s="34"/>
      <c r="AY288" s="34"/>
      <c r="AZ288" s="34"/>
      <c r="BA288" s="34"/>
      <c r="BB288" s="34"/>
      <c r="BC288" s="34"/>
      <c r="BD288" s="34"/>
      <c r="BE288" s="34"/>
      <c r="BF288" s="34"/>
      <c r="BG288" s="34"/>
      <c r="BH288" s="34"/>
      <c r="BI288" s="34"/>
      <c r="BJ288" s="34"/>
      <c r="BK288" s="34"/>
      <c r="BL288" s="34"/>
      <c r="BM288" s="23"/>
      <c r="BN288" s="23"/>
      <c r="BO288" s="23"/>
    </row>
    <row r="289" spans="1:67" s="24" customFormat="1" x14ac:dyDescent="0.25">
      <c r="A289" s="187" t="s">
        <v>30</v>
      </c>
      <c r="B289" s="194" t="str">
        <f>Vertaling!A151</f>
        <v>Maand 18</v>
      </c>
      <c r="C289" s="210" t="str">
        <f>Vertaling!$A$34</f>
        <v>vul bedrag in:</v>
      </c>
      <c r="D289" s="234"/>
      <c r="E289" s="413"/>
      <c r="F289" s="234"/>
      <c r="G289" s="23"/>
      <c r="H289" s="234"/>
      <c r="I289" s="23"/>
      <c r="J289" s="33"/>
      <c r="K289" s="33"/>
      <c r="L289" s="33"/>
      <c r="M289" s="33"/>
      <c r="N289" s="33"/>
      <c r="O289" s="33"/>
      <c r="P289" s="33"/>
      <c r="Q289" s="33"/>
      <c r="R289" s="33"/>
      <c r="S289" s="33"/>
      <c r="T289" s="33"/>
      <c r="U289" s="33"/>
      <c r="V289" s="33"/>
      <c r="W289" s="33"/>
      <c r="X289" s="33"/>
      <c r="Y289" s="33"/>
      <c r="Z289" s="33"/>
      <c r="AA289" s="33"/>
      <c r="AB289" s="33"/>
      <c r="AC289" s="33"/>
      <c r="AD289" s="33"/>
      <c r="AE289" s="33"/>
      <c r="AF289" s="33"/>
      <c r="AG289" s="33"/>
      <c r="AH289" s="33"/>
      <c r="AI289" s="33"/>
      <c r="AJ289" s="33"/>
      <c r="AK289" s="33"/>
      <c r="AL289" s="33"/>
      <c r="AM289" s="34"/>
      <c r="AN289" s="34"/>
      <c r="AO289" s="34"/>
      <c r="AP289" s="34"/>
      <c r="AQ289" s="34"/>
      <c r="AR289" s="34"/>
      <c r="AS289" s="34"/>
      <c r="AT289" s="34"/>
      <c r="AU289" s="34"/>
      <c r="AV289" s="34"/>
      <c r="AW289" s="34"/>
      <c r="AX289" s="34"/>
      <c r="AY289" s="34"/>
      <c r="AZ289" s="34"/>
      <c r="BA289" s="34"/>
      <c r="BB289" s="34"/>
      <c r="BC289" s="34"/>
      <c r="BD289" s="34"/>
      <c r="BE289" s="34"/>
      <c r="BF289" s="34"/>
      <c r="BG289" s="34"/>
      <c r="BH289" s="34"/>
      <c r="BI289" s="34"/>
      <c r="BJ289" s="34"/>
      <c r="BK289" s="34"/>
      <c r="BL289" s="34"/>
      <c r="BM289" s="23"/>
      <c r="BN289" s="23"/>
      <c r="BO289" s="23"/>
    </row>
    <row r="290" spans="1:67" s="24" customFormat="1" ht="7.5" customHeight="1" x14ac:dyDescent="0.25">
      <c r="A290" s="193"/>
      <c r="B290" s="194"/>
      <c r="C290" s="210"/>
      <c r="D290" s="235"/>
      <c r="E290" s="414"/>
      <c r="F290" s="235"/>
      <c r="G290" s="21"/>
      <c r="H290" s="235"/>
      <c r="I290" s="23"/>
      <c r="J290" s="33"/>
      <c r="K290" s="33"/>
      <c r="L290" s="33"/>
      <c r="M290" s="33"/>
      <c r="N290" s="33"/>
      <c r="O290" s="33"/>
      <c r="P290" s="33"/>
      <c r="Q290" s="33"/>
      <c r="R290" s="33"/>
      <c r="S290" s="33"/>
      <c r="T290" s="33"/>
      <c r="U290" s="33"/>
      <c r="V290" s="33"/>
      <c r="W290" s="33"/>
      <c r="X290" s="33"/>
      <c r="Y290" s="33"/>
      <c r="Z290" s="33"/>
      <c r="AA290" s="33"/>
      <c r="AB290" s="33"/>
      <c r="AC290" s="33"/>
      <c r="AD290" s="33"/>
      <c r="AE290" s="33"/>
      <c r="AF290" s="33"/>
      <c r="AG290" s="33"/>
      <c r="AH290" s="33"/>
      <c r="AI290" s="33"/>
      <c r="AJ290" s="33"/>
      <c r="AK290" s="33"/>
      <c r="AL290" s="33"/>
      <c r="AM290" s="34"/>
      <c r="AN290" s="34"/>
      <c r="AO290" s="34"/>
      <c r="AP290" s="34"/>
      <c r="AQ290" s="34"/>
      <c r="AR290" s="34"/>
      <c r="AS290" s="34"/>
      <c r="AT290" s="34"/>
      <c r="AU290" s="34"/>
      <c r="AV290" s="34"/>
      <c r="AW290" s="34"/>
      <c r="AX290" s="34"/>
      <c r="AY290" s="34"/>
      <c r="AZ290" s="34"/>
      <c r="BA290" s="34"/>
      <c r="BB290" s="34"/>
      <c r="BC290" s="34"/>
      <c r="BD290" s="34"/>
      <c r="BE290" s="34"/>
      <c r="BF290" s="34"/>
      <c r="BG290" s="34"/>
      <c r="BH290" s="34"/>
      <c r="BI290" s="34"/>
      <c r="BJ290" s="34"/>
      <c r="BK290" s="34"/>
      <c r="BL290" s="34"/>
      <c r="BM290" s="23"/>
      <c r="BN290" s="23"/>
      <c r="BO290" s="23"/>
    </row>
    <row r="291" spans="1:67" s="24" customFormat="1" x14ac:dyDescent="0.25">
      <c r="A291" s="187" t="s">
        <v>30</v>
      </c>
      <c r="B291" s="194" t="str">
        <f>Vertaling!A152</f>
        <v>Maand 19</v>
      </c>
      <c r="C291" s="210" t="str">
        <f>Vertaling!$A$34</f>
        <v>vul bedrag in:</v>
      </c>
      <c r="D291" s="234"/>
      <c r="E291" s="413"/>
      <c r="F291" s="234"/>
      <c r="G291" s="23"/>
      <c r="H291" s="234"/>
      <c r="I291" s="23"/>
      <c r="J291" s="33"/>
      <c r="K291" s="33"/>
      <c r="L291" s="33"/>
      <c r="M291" s="33"/>
      <c r="N291" s="33"/>
      <c r="O291" s="33"/>
      <c r="P291" s="33"/>
      <c r="Q291" s="33"/>
      <c r="R291" s="33"/>
      <c r="S291" s="33"/>
      <c r="T291" s="33"/>
      <c r="U291" s="33"/>
      <c r="V291" s="33"/>
      <c r="W291" s="33"/>
      <c r="X291" s="33"/>
      <c r="Y291" s="33"/>
      <c r="Z291" s="33"/>
      <c r="AA291" s="33"/>
      <c r="AB291" s="33"/>
      <c r="AC291" s="33"/>
      <c r="AD291" s="33"/>
      <c r="AE291" s="33"/>
      <c r="AF291" s="33"/>
      <c r="AG291" s="33"/>
      <c r="AH291" s="33"/>
      <c r="AI291" s="33"/>
      <c r="AJ291" s="33"/>
      <c r="AK291" s="33"/>
      <c r="AL291" s="33"/>
      <c r="AM291" s="34"/>
      <c r="AN291" s="34"/>
      <c r="AO291" s="34"/>
      <c r="AP291" s="34"/>
      <c r="AQ291" s="34"/>
      <c r="AR291" s="34"/>
      <c r="AS291" s="34"/>
      <c r="AT291" s="34"/>
      <c r="AU291" s="34"/>
      <c r="AV291" s="34"/>
      <c r="AW291" s="34"/>
      <c r="AX291" s="34"/>
      <c r="AY291" s="34"/>
      <c r="AZ291" s="34"/>
      <c r="BA291" s="34"/>
      <c r="BB291" s="34"/>
      <c r="BC291" s="34"/>
      <c r="BD291" s="34"/>
      <c r="BE291" s="34"/>
      <c r="BF291" s="34"/>
      <c r="BG291" s="34"/>
      <c r="BH291" s="34"/>
      <c r="BI291" s="34"/>
      <c r="BJ291" s="34"/>
      <c r="BK291" s="34"/>
      <c r="BL291" s="34"/>
      <c r="BM291" s="23"/>
      <c r="BN291" s="23"/>
      <c r="BO291" s="23"/>
    </row>
    <row r="292" spans="1:67" s="24" customFormat="1" ht="7.5" customHeight="1" x14ac:dyDescent="0.25">
      <c r="A292" s="193"/>
      <c r="B292" s="194"/>
      <c r="C292" s="210"/>
      <c r="D292" s="235"/>
      <c r="E292" s="414"/>
      <c r="F292" s="235"/>
      <c r="G292" s="21"/>
      <c r="H292" s="235"/>
      <c r="I292" s="23"/>
      <c r="J292" s="33"/>
      <c r="K292" s="33"/>
      <c r="L292" s="33"/>
      <c r="M292" s="33"/>
      <c r="N292" s="33"/>
      <c r="O292" s="33"/>
      <c r="P292" s="33"/>
      <c r="Q292" s="33"/>
      <c r="R292" s="33"/>
      <c r="S292" s="33"/>
      <c r="T292" s="33"/>
      <c r="U292" s="33"/>
      <c r="V292" s="33"/>
      <c r="W292" s="33"/>
      <c r="X292" s="33"/>
      <c r="Y292" s="33"/>
      <c r="Z292" s="33"/>
      <c r="AA292" s="33"/>
      <c r="AB292" s="33"/>
      <c r="AC292" s="33"/>
      <c r="AD292" s="33"/>
      <c r="AE292" s="33"/>
      <c r="AF292" s="33"/>
      <c r="AG292" s="33"/>
      <c r="AH292" s="33"/>
      <c r="AI292" s="33"/>
      <c r="AJ292" s="33"/>
      <c r="AK292" s="33"/>
      <c r="AL292" s="33"/>
      <c r="AM292" s="34"/>
      <c r="AN292" s="34"/>
      <c r="AO292" s="34"/>
      <c r="AP292" s="34"/>
      <c r="AQ292" s="34"/>
      <c r="AR292" s="34"/>
      <c r="AS292" s="34"/>
      <c r="AT292" s="34"/>
      <c r="AU292" s="34"/>
      <c r="AV292" s="34"/>
      <c r="AW292" s="34"/>
      <c r="AX292" s="34"/>
      <c r="AY292" s="34"/>
      <c r="AZ292" s="34"/>
      <c r="BA292" s="34"/>
      <c r="BB292" s="34"/>
      <c r="BC292" s="34"/>
      <c r="BD292" s="34"/>
      <c r="BE292" s="34"/>
      <c r="BF292" s="34"/>
      <c r="BG292" s="34"/>
      <c r="BH292" s="34"/>
      <c r="BI292" s="34"/>
      <c r="BJ292" s="34"/>
      <c r="BK292" s="34"/>
      <c r="BL292" s="34"/>
      <c r="BM292" s="23"/>
      <c r="BN292" s="23"/>
      <c r="BO292" s="23"/>
    </row>
    <row r="293" spans="1:67" s="24" customFormat="1" x14ac:dyDescent="0.25">
      <c r="A293" s="187" t="s">
        <v>30</v>
      </c>
      <c r="B293" s="194" t="str">
        <f>Vertaling!A153</f>
        <v>Maand 20</v>
      </c>
      <c r="C293" s="210" t="str">
        <f>Vertaling!$A$34</f>
        <v>vul bedrag in:</v>
      </c>
      <c r="D293" s="234"/>
      <c r="E293" s="413"/>
      <c r="F293" s="234"/>
      <c r="G293" s="23"/>
      <c r="H293" s="234"/>
      <c r="I293" s="23"/>
      <c r="J293" s="33"/>
      <c r="K293" s="33"/>
      <c r="L293" s="33"/>
      <c r="M293" s="33"/>
      <c r="N293" s="33"/>
      <c r="O293" s="33"/>
      <c r="P293" s="33"/>
      <c r="Q293" s="33"/>
      <c r="R293" s="33"/>
      <c r="S293" s="33"/>
      <c r="T293" s="33"/>
      <c r="U293" s="33"/>
      <c r="V293" s="33"/>
      <c r="W293" s="33"/>
      <c r="X293" s="33"/>
      <c r="Y293" s="33"/>
      <c r="Z293" s="33"/>
      <c r="AA293" s="33"/>
      <c r="AB293" s="33"/>
      <c r="AC293" s="33"/>
      <c r="AD293" s="33"/>
      <c r="AE293" s="33"/>
      <c r="AF293" s="33"/>
      <c r="AG293" s="33"/>
      <c r="AH293" s="33"/>
      <c r="AI293" s="33"/>
      <c r="AJ293" s="33"/>
      <c r="AK293" s="33"/>
      <c r="AL293" s="33"/>
      <c r="AM293" s="34"/>
      <c r="AN293" s="34"/>
      <c r="AO293" s="34"/>
      <c r="AP293" s="34"/>
      <c r="AQ293" s="34"/>
      <c r="AR293" s="34"/>
      <c r="AS293" s="34"/>
      <c r="AT293" s="34"/>
      <c r="AU293" s="34"/>
      <c r="AV293" s="34"/>
      <c r="AW293" s="34"/>
      <c r="AX293" s="34"/>
      <c r="AY293" s="34"/>
      <c r="AZ293" s="34"/>
      <c r="BA293" s="34"/>
      <c r="BB293" s="34"/>
      <c r="BC293" s="34"/>
      <c r="BD293" s="34"/>
      <c r="BE293" s="34"/>
      <c r="BF293" s="34"/>
      <c r="BG293" s="34"/>
      <c r="BH293" s="34"/>
      <c r="BI293" s="34"/>
      <c r="BJ293" s="34"/>
      <c r="BK293" s="34"/>
      <c r="BL293" s="34"/>
      <c r="BM293" s="23"/>
      <c r="BN293" s="23"/>
      <c r="BO293" s="23"/>
    </row>
    <row r="294" spans="1:67" s="24" customFormat="1" ht="7.5" customHeight="1" x14ac:dyDescent="0.25">
      <c r="A294" s="193"/>
      <c r="B294" s="194"/>
      <c r="C294" s="210"/>
      <c r="D294" s="235"/>
      <c r="E294" s="414"/>
      <c r="F294" s="235"/>
      <c r="G294" s="21"/>
      <c r="H294" s="235"/>
      <c r="I294" s="23"/>
      <c r="J294" s="33"/>
      <c r="K294" s="33"/>
      <c r="L294" s="33"/>
      <c r="M294" s="33"/>
      <c r="N294" s="33"/>
      <c r="O294" s="33"/>
      <c r="P294" s="33"/>
      <c r="Q294" s="33"/>
      <c r="R294" s="33"/>
      <c r="S294" s="33"/>
      <c r="T294" s="33"/>
      <c r="U294" s="33"/>
      <c r="V294" s="33"/>
      <c r="W294" s="33"/>
      <c r="X294" s="33"/>
      <c r="Y294" s="33"/>
      <c r="Z294" s="33"/>
      <c r="AA294" s="33"/>
      <c r="AB294" s="33"/>
      <c r="AC294" s="33"/>
      <c r="AD294" s="33"/>
      <c r="AE294" s="33"/>
      <c r="AF294" s="33"/>
      <c r="AG294" s="33"/>
      <c r="AH294" s="33"/>
      <c r="AI294" s="33"/>
      <c r="AJ294" s="33"/>
      <c r="AK294" s="33"/>
      <c r="AL294" s="33"/>
      <c r="AM294" s="34"/>
      <c r="AN294" s="34"/>
      <c r="AO294" s="34"/>
      <c r="AP294" s="34"/>
      <c r="AQ294" s="34"/>
      <c r="AR294" s="34"/>
      <c r="AS294" s="34"/>
      <c r="AT294" s="34"/>
      <c r="AU294" s="34"/>
      <c r="AV294" s="34"/>
      <c r="AW294" s="34"/>
      <c r="AX294" s="34"/>
      <c r="AY294" s="34"/>
      <c r="AZ294" s="34"/>
      <c r="BA294" s="34"/>
      <c r="BB294" s="34"/>
      <c r="BC294" s="34"/>
      <c r="BD294" s="34"/>
      <c r="BE294" s="34"/>
      <c r="BF294" s="34"/>
      <c r="BG294" s="34"/>
      <c r="BH294" s="34"/>
      <c r="BI294" s="34"/>
      <c r="BJ294" s="34"/>
      <c r="BK294" s="34"/>
      <c r="BL294" s="34"/>
      <c r="BM294" s="23"/>
      <c r="BN294" s="23"/>
      <c r="BO294" s="23"/>
    </row>
    <row r="295" spans="1:67" s="24" customFormat="1" x14ac:dyDescent="0.25">
      <c r="A295" s="187" t="s">
        <v>30</v>
      </c>
      <c r="B295" s="194" t="str">
        <f>Vertaling!A154</f>
        <v>Maand 21</v>
      </c>
      <c r="C295" s="210" t="str">
        <f>Vertaling!$A$34</f>
        <v>vul bedrag in:</v>
      </c>
      <c r="D295" s="234"/>
      <c r="E295" s="413"/>
      <c r="F295" s="234"/>
      <c r="G295" s="23"/>
      <c r="H295" s="234"/>
      <c r="I295" s="23"/>
      <c r="J295" s="33"/>
      <c r="K295" s="33"/>
      <c r="L295" s="33"/>
      <c r="M295" s="33"/>
      <c r="N295" s="33"/>
      <c r="O295" s="33"/>
      <c r="P295" s="33"/>
      <c r="Q295" s="33"/>
      <c r="R295" s="33"/>
      <c r="S295" s="33"/>
      <c r="T295" s="33"/>
      <c r="U295" s="33"/>
      <c r="V295" s="33"/>
      <c r="W295" s="33"/>
      <c r="X295" s="33"/>
      <c r="Y295" s="33"/>
      <c r="Z295" s="33"/>
      <c r="AA295" s="33"/>
      <c r="AB295" s="33"/>
      <c r="AC295" s="33"/>
      <c r="AD295" s="33"/>
      <c r="AE295" s="33"/>
      <c r="AF295" s="33"/>
      <c r="AG295" s="33"/>
      <c r="AH295" s="33"/>
      <c r="AI295" s="33"/>
      <c r="AJ295" s="33"/>
      <c r="AK295" s="33"/>
      <c r="AL295" s="33"/>
      <c r="AM295" s="34"/>
      <c r="AN295" s="34"/>
      <c r="AO295" s="34"/>
      <c r="AP295" s="34"/>
      <c r="AQ295" s="34"/>
      <c r="AR295" s="34"/>
      <c r="AS295" s="34"/>
      <c r="AT295" s="34"/>
      <c r="AU295" s="34"/>
      <c r="AV295" s="34"/>
      <c r="AW295" s="34"/>
      <c r="AX295" s="34"/>
      <c r="AY295" s="34"/>
      <c r="AZ295" s="34"/>
      <c r="BA295" s="34"/>
      <c r="BB295" s="34"/>
      <c r="BC295" s="34"/>
      <c r="BD295" s="34"/>
      <c r="BE295" s="34"/>
      <c r="BF295" s="34"/>
      <c r="BG295" s="34"/>
      <c r="BH295" s="34"/>
      <c r="BI295" s="34"/>
      <c r="BJ295" s="34"/>
      <c r="BK295" s="34"/>
      <c r="BL295" s="34"/>
      <c r="BM295" s="23"/>
      <c r="BN295" s="23"/>
      <c r="BO295" s="23"/>
    </row>
    <row r="296" spans="1:67" s="24" customFormat="1" ht="7.5" customHeight="1" x14ac:dyDescent="0.25">
      <c r="A296" s="193"/>
      <c r="B296" s="194"/>
      <c r="C296" s="210"/>
      <c r="D296" s="235"/>
      <c r="E296" s="414"/>
      <c r="F296" s="235"/>
      <c r="G296" s="21"/>
      <c r="H296" s="235"/>
      <c r="I296" s="23"/>
      <c r="J296" s="33"/>
      <c r="K296" s="33"/>
      <c r="L296" s="33"/>
      <c r="M296" s="33"/>
      <c r="N296" s="33"/>
      <c r="O296" s="33"/>
      <c r="P296" s="33"/>
      <c r="Q296" s="33"/>
      <c r="R296" s="33"/>
      <c r="S296" s="33"/>
      <c r="T296" s="33"/>
      <c r="U296" s="33"/>
      <c r="V296" s="33"/>
      <c r="W296" s="33"/>
      <c r="X296" s="33"/>
      <c r="Y296" s="33"/>
      <c r="Z296" s="33"/>
      <c r="AA296" s="33"/>
      <c r="AB296" s="33"/>
      <c r="AC296" s="33"/>
      <c r="AD296" s="33"/>
      <c r="AE296" s="33"/>
      <c r="AF296" s="33"/>
      <c r="AG296" s="33"/>
      <c r="AH296" s="33"/>
      <c r="AI296" s="33"/>
      <c r="AJ296" s="33"/>
      <c r="AK296" s="33"/>
      <c r="AL296" s="33"/>
      <c r="AM296" s="34"/>
      <c r="AN296" s="34"/>
      <c r="AO296" s="34"/>
      <c r="AP296" s="34"/>
      <c r="AQ296" s="34"/>
      <c r="AR296" s="34"/>
      <c r="AS296" s="34"/>
      <c r="AT296" s="34"/>
      <c r="AU296" s="34"/>
      <c r="AV296" s="34"/>
      <c r="AW296" s="34"/>
      <c r="AX296" s="34"/>
      <c r="AY296" s="34"/>
      <c r="AZ296" s="34"/>
      <c r="BA296" s="34"/>
      <c r="BB296" s="34"/>
      <c r="BC296" s="34"/>
      <c r="BD296" s="34"/>
      <c r="BE296" s="34"/>
      <c r="BF296" s="34"/>
      <c r="BG296" s="34"/>
      <c r="BH296" s="34"/>
      <c r="BI296" s="34"/>
      <c r="BJ296" s="34"/>
      <c r="BK296" s="34"/>
      <c r="BL296" s="34"/>
      <c r="BM296" s="23"/>
      <c r="BN296" s="23"/>
      <c r="BO296" s="23"/>
    </row>
    <row r="297" spans="1:67" s="24" customFormat="1" x14ac:dyDescent="0.25">
      <c r="A297" s="187" t="s">
        <v>30</v>
      </c>
      <c r="B297" s="194" t="str">
        <f>Vertaling!A155</f>
        <v>Maand 22</v>
      </c>
      <c r="C297" s="210" t="str">
        <f>Vertaling!$A$34</f>
        <v>vul bedrag in:</v>
      </c>
      <c r="D297" s="234"/>
      <c r="E297" s="413"/>
      <c r="F297" s="234"/>
      <c r="G297" s="23"/>
      <c r="H297" s="234"/>
      <c r="I297" s="23"/>
      <c r="J297" s="33"/>
      <c r="K297" s="33"/>
      <c r="L297" s="33"/>
      <c r="M297" s="33"/>
      <c r="N297" s="33"/>
      <c r="O297" s="33"/>
      <c r="P297" s="33"/>
      <c r="Q297" s="33"/>
      <c r="R297" s="33"/>
      <c r="S297" s="33"/>
      <c r="T297" s="33"/>
      <c r="U297" s="33"/>
      <c r="V297" s="33"/>
      <c r="W297" s="33"/>
      <c r="X297" s="33"/>
      <c r="Y297" s="33"/>
      <c r="Z297" s="33"/>
      <c r="AA297" s="33"/>
      <c r="AB297" s="33"/>
      <c r="AC297" s="33"/>
      <c r="AD297" s="33"/>
      <c r="AE297" s="33"/>
      <c r="AF297" s="33"/>
      <c r="AG297" s="33"/>
      <c r="AH297" s="33"/>
      <c r="AI297" s="33"/>
      <c r="AJ297" s="33"/>
      <c r="AK297" s="33"/>
      <c r="AL297" s="33"/>
      <c r="AM297" s="34"/>
      <c r="AN297" s="34"/>
      <c r="AO297" s="34"/>
      <c r="AP297" s="34"/>
      <c r="AQ297" s="34"/>
      <c r="AR297" s="34"/>
      <c r="AS297" s="34"/>
      <c r="AT297" s="34"/>
      <c r="AU297" s="34"/>
      <c r="AV297" s="34"/>
      <c r="AW297" s="34"/>
      <c r="AX297" s="34"/>
      <c r="AY297" s="34"/>
      <c r="AZ297" s="34"/>
      <c r="BA297" s="34"/>
      <c r="BB297" s="34"/>
      <c r="BC297" s="34"/>
      <c r="BD297" s="34"/>
      <c r="BE297" s="34"/>
      <c r="BF297" s="34"/>
      <c r="BG297" s="34"/>
      <c r="BH297" s="34"/>
      <c r="BI297" s="34"/>
      <c r="BJ297" s="34"/>
      <c r="BK297" s="34"/>
      <c r="BL297" s="34"/>
      <c r="BM297" s="23"/>
      <c r="BN297" s="23"/>
      <c r="BO297" s="23"/>
    </row>
    <row r="298" spans="1:67" s="24" customFormat="1" ht="7.5" customHeight="1" x14ac:dyDescent="0.25">
      <c r="A298" s="193"/>
      <c r="B298" s="194"/>
      <c r="C298" s="210"/>
      <c r="D298" s="235"/>
      <c r="E298" s="414"/>
      <c r="F298" s="235"/>
      <c r="G298" s="21"/>
      <c r="H298" s="235"/>
      <c r="I298" s="23"/>
      <c r="J298" s="33"/>
      <c r="K298" s="33"/>
      <c r="L298" s="33"/>
      <c r="M298" s="33"/>
      <c r="N298" s="33"/>
      <c r="O298" s="33"/>
      <c r="P298" s="33"/>
      <c r="Q298" s="33"/>
      <c r="R298" s="33"/>
      <c r="S298" s="33"/>
      <c r="T298" s="33"/>
      <c r="U298" s="33"/>
      <c r="V298" s="33"/>
      <c r="W298" s="33"/>
      <c r="X298" s="33"/>
      <c r="Y298" s="33"/>
      <c r="Z298" s="33"/>
      <c r="AA298" s="33"/>
      <c r="AB298" s="33"/>
      <c r="AC298" s="33"/>
      <c r="AD298" s="33"/>
      <c r="AE298" s="33"/>
      <c r="AF298" s="33"/>
      <c r="AG298" s="33"/>
      <c r="AH298" s="33"/>
      <c r="AI298" s="33"/>
      <c r="AJ298" s="33"/>
      <c r="AK298" s="33"/>
      <c r="AL298" s="33"/>
      <c r="AM298" s="34"/>
      <c r="AN298" s="34"/>
      <c r="AO298" s="34"/>
      <c r="AP298" s="34"/>
      <c r="AQ298" s="34"/>
      <c r="AR298" s="34"/>
      <c r="AS298" s="34"/>
      <c r="AT298" s="34"/>
      <c r="AU298" s="34"/>
      <c r="AV298" s="34"/>
      <c r="AW298" s="34"/>
      <c r="AX298" s="34"/>
      <c r="AY298" s="34"/>
      <c r="AZ298" s="34"/>
      <c r="BA298" s="34"/>
      <c r="BB298" s="34"/>
      <c r="BC298" s="34"/>
      <c r="BD298" s="34"/>
      <c r="BE298" s="34"/>
      <c r="BF298" s="34"/>
      <c r="BG298" s="34"/>
      <c r="BH298" s="34"/>
      <c r="BI298" s="34"/>
      <c r="BJ298" s="34"/>
      <c r="BK298" s="34"/>
      <c r="BL298" s="34"/>
      <c r="BM298" s="23"/>
      <c r="BN298" s="23"/>
      <c r="BO298" s="23"/>
    </row>
    <row r="299" spans="1:67" s="24" customFormat="1" x14ac:dyDescent="0.25">
      <c r="A299" s="187" t="s">
        <v>30</v>
      </c>
      <c r="B299" s="194" t="str">
        <f>Vertaling!A156</f>
        <v>Maand 23</v>
      </c>
      <c r="C299" s="210" t="str">
        <f>Vertaling!$A$34</f>
        <v>vul bedrag in:</v>
      </c>
      <c r="D299" s="234"/>
      <c r="E299" s="413"/>
      <c r="F299" s="234"/>
      <c r="G299" s="23"/>
      <c r="H299" s="234"/>
      <c r="I299" s="23"/>
      <c r="J299" s="33"/>
      <c r="K299" s="33"/>
      <c r="L299" s="33"/>
      <c r="M299" s="33"/>
      <c r="N299" s="33"/>
      <c r="O299" s="33"/>
      <c r="P299" s="33"/>
      <c r="Q299" s="33"/>
      <c r="R299" s="33"/>
      <c r="S299" s="33"/>
      <c r="T299" s="33"/>
      <c r="U299" s="33"/>
      <c r="V299" s="33"/>
      <c r="W299" s="33"/>
      <c r="X299" s="33"/>
      <c r="Y299" s="33"/>
      <c r="Z299" s="33"/>
      <c r="AA299" s="33"/>
      <c r="AB299" s="33"/>
      <c r="AC299" s="33"/>
      <c r="AD299" s="33"/>
      <c r="AE299" s="33"/>
      <c r="AF299" s="33"/>
      <c r="AG299" s="33"/>
      <c r="AH299" s="33"/>
      <c r="AI299" s="33"/>
      <c r="AJ299" s="33"/>
      <c r="AK299" s="33"/>
      <c r="AL299" s="33"/>
      <c r="AM299" s="34"/>
      <c r="AN299" s="34"/>
      <c r="AO299" s="34"/>
      <c r="AP299" s="34"/>
      <c r="AQ299" s="34"/>
      <c r="AR299" s="34"/>
      <c r="AS299" s="34"/>
      <c r="AT299" s="34"/>
      <c r="AU299" s="34"/>
      <c r="AV299" s="34"/>
      <c r="AW299" s="34"/>
      <c r="AX299" s="34"/>
      <c r="AY299" s="34"/>
      <c r="AZ299" s="34"/>
      <c r="BA299" s="34"/>
      <c r="BB299" s="34"/>
      <c r="BC299" s="34"/>
      <c r="BD299" s="34"/>
      <c r="BE299" s="34"/>
      <c r="BF299" s="34"/>
      <c r="BG299" s="34"/>
      <c r="BH299" s="34"/>
      <c r="BI299" s="34"/>
      <c r="BJ299" s="34"/>
      <c r="BK299" s="34"/>
      <c r="BL299" s="34"/>
      <c r="BM299" s="23"/>
      <c r="BN299" s="23"/>
      <c r="BO299" s="23"/>
    </row>
    <row r="300" spans="1:67" s="24" customFormat="1" ht="7.5" customHeight="1" x14ac:dyDescent="0.25">
      <c r="A300" s="193"/>
      <c r="B300" s="194"/>
      <c r="C300" s="210"/>
      <c r="D300" s="235"/>
      <c r="E300" s="414"/>
      <c r="F300" s="235"/>
      <c r="G300" s="21"/>
      <c r="H300" s="235"/>
      <c r="I300" s="23"/>
      <c r="J300" s="33"/>
      <c r="K300" s="33"/>
      <c r="L300" s="33"/>
      <c r="M300" s="33"/>
      <c r="N300" s="33"/>
      <c r="O300" s="33"/>
      <c r="P300" s="33"/>
      <c r="Q300" s="33"/>
      <c r="R300" s="33"/>
      <c r="S300" s="33"/>
      <c r="T300" s="33"/>
      <c r="U300" s="33"/>
      <c r="V300" s="33"/>
      <c r="W300" s="33"/>
      <c r="X300" s="33"/>
      <c r="Y300" s="33"/>
      <c r="Z300" s="33"/>
      <c r="AA300" s="33"/>
      <c r="AB300" s="33"/>
      <c r="AC300" s="33"/>
      <c r="AD300" s="33"/>
      <c r="AE300" s="33"/>
      <c r="AF300" s="33"/>
      <c r="AG300" s="33"/>
      <c r="AH300" s="33"/>
      <c r="AI300" s="33"/>
      <c r="AJ300" s="33"/>
      <c r="AK300" s="33"/>
      <c r="AL300" s="33"/>
      <c r="AM300" s="34"/>
      <c r="AN300" s="34"/>
      <c r="AO300" s="34"/>
      <c r="AP300" s="34"/>
      <c r="AQ300" s="34"/>
      <c r="AR300" s="34"/>
      <c r="AS300" s="34"/>
      <c r="AT300" s="34"/>
      <c r="AU300" s="34"/>
      <c r="AV300" s="34"/>
      <c r="AW300" s="34"/>
      <c r="AX300" s="34"/>
      <c r="AY300" s="34"/>
      <c r="AZ300" s="34"/>
      <c r="BA300" s="34"/>
      <c r="BB300" s="34"/>
      <c r="BC300" s="34"/>
      <c r="BD300" s="34"/>
      <c r="BE300" s="34"/>
      <c r="BF300" s="34"/>
      <c r="BG300" s="34"/>
      <c r="BH300" s="34"/>
      <c r="BI300" s="34"/>
      <c r="BJ300" s="34"/>
      <c r="BK300" s="34"/>
      <c r="BL300" s="34"/>
      <c r="BM300" s="23"/>
      <c r="BN300" s="23"/>
      <c r="BO300" s="23"/>
    </row>
    <row r="301" spans="1:67" s="24" customFormat="1" x14ac:dyDescent="0.25">
      <c r="A301" s="187" t="s">
        <v>30</v>
      </c>
      <c r="B301" s="194" t="str">
        <f>Vertaling!A157</f>
        <v>Maand 24</v>
      </c>
      <c r="C301" s="210" t="str">
        <f>Vertaling!$A$34</f>
        <v>vul bedrag in:</v>
      </c>
      <c r="D301" s="234"/>
      <c r="E301" s="413"/>
      <c r="F301" s="234"/>
      <c r="G301" s="23"/>
      <c r="H301" s="234"/>
      <c r="I301" s="23"/>
      <c r="J301" s="33"/>
      <c r="K301" s="33"/>
      <c r="L301" s="33"/>
      <c r="M301" s="33"/>
      <c r="N301" s="33"/>
      <c r="O301" s="33"/>
      <c r="P301" s="33"/>
      <c r="Q301" s="33"/>
      <c r="R301" s="33"/>
      <c r="S301" s="33"/>
      <c r="T301" s="33"/>
      <c r="U301" s="33"/>
      <c r="V301" s="33"/>
      <c r="W301" s="33"/>
      <c r="X301" s="33"/>
      <c r="Y301" s="33"/>
      <c r="Z301" s="33"/>
      <c r="AA301" s="33"/>
      <c r="AB301" s="33"/>
      <c r="AC301" s="33"/>
      <c r="AD301" s="33"/>
      <c r="AE301" s="33"/>
      <c r="AF301" s="33"/>
      <c r="AG301" s="33"/>
      <c r="AH301" s="33"/>
      <c r="AI301" s="33"/>
      <c r="AJ301" s="33"/>
      <c r="AK301" s="33"/>
      <c r="AL301" s="33"/>
      <c r="AM301" s="34"/>
      <c r="AN301" s="34"/>
      <c r="AO301" s="34"/>
      <c r="AP301" s="34"/>
      <c r="AQ301" s="34"/>
      <c r="AR301" s="34"/>
      <c r="AS301" s="34"/>
      <c r="AT301" s="34"/>
      <c r="AU301" s="34"/>
      <c r="AV301" s="34"/>
      <c r="AW301" s="34"/>
      <c r="AX301" s="34"/>
      <c r="AY301" s="34"/>
      <c r="AZ301" s="34"/>
      <c r="BA301" s="34"/>
      <c r="BB301" s="34"/>
      <c r="BC301" s="34"/>
      <c r="BD301" s="34"/>
      <c r="BE301" s="34"/>
      <c r="BF301" s="34"/>
      <c r="BG301" s="34"/>
      <c r="BH301" s="34"/>
      <c r="BI301" s="34"/>
      <c r="BJ301" s="34"/>
      <c r="BK301" s="34"/>
      <c r="BL301" s="34"/>
      <c r="BM301" s="23"/>
      <c r="BN301" s="23"/>
      <c r="BO301" s="23"/>
    </row>
    <row r="302" spans="1:67" s="24" customFormat="1" ht="7.5" customHeight="1" x14ac:dyDescent="0.25">
      <c r="A302" s="193"/>
      <c r="B302" s="194"/>
      <c r="C302" s="210"/>
      <c r="D302" s="413"/>
      <c r="E302" s="413"/>
      <c r="F302" s="413"/>
      <c r="G302" s="437"/>
      <c r="H302" s="413"/>
      <c r="I302" s="23"/>
      <c r="J302" s="33"/>
      <c r="K302" s="33"/>
      <c r="L302" s="33"/>
      <c r="M302" s="33"/>
      <c r="N302" s="33"/>
      <c r="O302" s="33"/>
      <c r="P302" s="33"/>
      <c r="Q302" s="33"/>
      <c r="R302" s="33"/>
      <c r="S302" s="33"/>
      <c r="T302" s="33"/>
      <c r="U302" s="33"/>
      <c r="V302" s="33"/>
      <c r="W302" s="33"/>
      <c r="X302" s="33"/>
      <c r="Y302" s="33"/>
      <c r="Z302" s="33"/>
      <c r="AA302" s="33"/>
      <c r="AB302" s="33"/>
      <c r="AC302" s="33"/>
      <c r="AD302" s="33"/>
      <c r="AE302" s="33"/>
      <c r="AF302" s="33"/>
      <c r="AG302" s="33"/>
      <c r="AH302" s="33"/>
      <c r="AI302" s="33"/>
      <c r="AJ302" s="33"/>
      <c r="AK302" s="33"/>
      <c r="AL302" s="33"/>
      <c r="AM302" s="34"/>
      <c r="AN302" s="34"/>
      <c r="AO302" s="34"/>
      <c r="AP302" s="34"/>
      <c r="AQ302" s="34"/>
      <c r="AR302" s="34"/>
      <c r="AS302" s="34"/>
      <c r="AT302" s="34"/>
      <c r="AU302" s="34"/>
      <c r="AV302" s="34"/>
      <c r="AW302" s="34"/>
      <c r="AX302" s="34"/>
      <c r="AY302" s="34"/>
      <c r="AZ302" s="34"/>
      <c r="BA302" s="34"/>
      <c r="BB302" s="34"/>
      <c r="BC302" s="34"/>
      <c r="BD302" s="34"/>
      <c r="BE302" s="34"/>
      <c r="BF302" s="34"/>
      <c r="BG302" s="34"/>
      <c r="BH302" s="34"/>
      <c r="BI302" s="34"/>
      <c r="BJ302" s="34"/>
      <c r="BK302" s="34"/>
      <c r="BL302" s="34"/>
      <c r="BM302" s="23"/>
      <c r="BN302" s="23"/>
      <c r="BO302" s="23"/>
    </row>
    <row r="303" spans="1:67" s="24" customFormat="1" x14ac:dyDescent="0.25">
      <c r="A303" s="187" t="s">
        <v>30</v>
      </c>
      <c r="B303" s="194" t="str">
        <f>Vertaling!A158</f>
        <v>Maand 25</v>
      </c>
      <c r="C303" s="210" t="str">
        <f>Vertaling!$A$34</f>
        <v>vul bedrag in:</v>
      </c>
      <c r="D303" s="234"/>
      <c r="E303" s="413"/>
      <c r="F303" s="234"/>
      <c r="G303" s="23"/>
      <c r="H303" s="234"/>
      <c r="I303" s="23"/>
      <c r="J303" s="33"/>
      <c r="K303" s="33"/>
      <c r="L303" s="33"/>
      <c r="M303" s="33"/>
      <c r="N303" s="33"/>
      <c r="O303" s="33"/>
      <c r="P303" s="33"/>
      <c r="Q303" s="33"/>
      <c r="R303" s="33"/>
      <c r="S303" s="33"/>
      <c r="T303" s="33"/>
      <c r="U303" s="33"/>
      <c r="V303" s="33"/>
      <c r="W303" s="33"/>
      <c r="X303" s="33"/>
      <c r="Y303" s="33"/>
      <c r="Z303" s="33"/>
      <c r="AA303" s="33"/>
      <c r="AB303" s="33"/>
      <c r="AC303" s="33"/>
      <c r="AD303" s="33"/>
      <c r="AE303" s="33"/>
      <c r="AF303" s="33"/>
      <c r="AG303" s="33"/>
      <c r="AH303" s="33"/>
      <c r="AI303" s="33"/>
      <c r="AJ303" s="33"/>
      <c r="AK303" s="33"/>
      <c r="AL303" s="33"/>
      <c r="AM303" s="34"/>
      <c r="AN303" s="34"/>
      <c r="AO303" s="34"/>
      <c r="AP303" s="34"/>
      <c r="AQ303" s="34"/>
      <c r="AR303" s="34"/>
      <c r="AS303" s="34"/>
      <c r="AT303" s="34"/>
      <c r="AU303" s="34"/>
      <c r="AV303" s="34"/>
      <c r="AW303" s="34"/>
      <c r="AX303" s="34"/>
      <c r="AY303" s="34"/>
      <c r="AZ303" s="34"/>
      <c r="BA303" s="34"/>
      <c r="BB303" s="34"/>
      <c r="BC303" s="34"/>
      <c r="BD303" s="34"/>
      <c r="BE303" s="34"/>
      <c r="BF303" s="34"/>
      <c r="BG303" s="34"/>
      <c r="BH303" s="34"/>
      <c r="BI303" s="34"/>
      <c r="BJ303" s="34"/>
      <c r="BK303" s="34"/>
      <c r="BL303" s="34"/>
      <c r="BM303" s="23"/>
      <c r="BN303" s="23"/>
      <c r="BO303" s="23"/>
    </row>
    <row r="304" spans="1:67" s="24" customFormat="1" ht="7.5" customHeight="1" x14ac:dyDescent="0.25">
      <c r="A304" s="193"/>
      <c r="B304" s="194"/>
      <c r="C304" s="210"/>
      <c r="D304" s="235"/>
      <c r="E304" s="414"/>
      <c r="F304" s="235"/>
      <c r="G304" s="21"/>
      <c r="H304" s="235"/>
      <c r="I304" s="23"/>
      <c r="J304" s="33"/>
      <c r="K304" s="33"/>
      <c r="L304" s="33"/>
      <c r="M304" s="33"/>
      <c r="N304" s="33"/>
      <c r="O304" s="33"/>
      <c r="P304" s="33"/>
      <c r="Q304" s="33"/>
      <c r="R304" s="33"/>
      <c r="S304" s="33"/>
      <c r="T304" s="33"/>
      <c r="U304" s="33"/>
      <c r="V304" s="33"/>
      <c r="W304" s="33"/>
      <c r="X304" s="33"/>
      <c r="Y304" s="33"/>
      <c r="Z304" s="33"/>
      <c r="AA304" s="33"/>
      <c r="AB304" s="33"/>
      <c r="AC304" s="33"/>
      <c r="AD304" s="33"/>
      <c r="AE304" s="33"/>
      <c r="AF304" s="33"/>
      <c r="AG304" s="33"/>
      <c r="AH304" s="33"/>
      <c r="AI304" s="33"/>
      <c r="AJ304" s="33"/>
      <c r="AK304" s="33"/>
      <c r="AL304" s="33"/>
      <c r="AM304" s="34"/>
      <c r="AN304" s="34"/>
      <c r="AO304" s="34"/>
      <c r="AP304" s="34"/>
      <c r="AQ304" s="34"/>
      <c r="AR304" s="34"/>
      <c r="AS304" s="34"/>
      <c r="AT304" s="34"/>
      <c r="AU304" s="34"/>
      <c r="AV304" s="34"/>
      <c r="AW304" s="34"/>
      <c r="AX304" s="34"/>
      <c r="AY304" s="34"/>
      <c r="AZ304" s="34"/>
      <c r="BA304" s="34"/>
      <c r="BB304" s="34"/>
      <c r="BC304" s="34"/>
      <c r="BD304" s="34"/>
      <c r="BE304" s="34"/>
      <c r="BF304" s="34"/>
      <c r="BG304" s="34"/>
      <c r="BH304" s="34"/>
      <c r="BI304" s="34"/>
      <c r="BJ304" s="34"/>
      <c r="BK304" s="34"/>
      <c r="BL304" s="34"/>
      <c r="BM304" s="23"/>
      <c r="BN304" s="23"/>
      <c r="BO304" s="23"/>
    </row>
    <row r="305" spans="1:67" s="24" customFormat="1" x14ac:dyDescent="0.25">
      <c r="A305" s="187" t="s">
        <v>30</v>
      </c>
      <c r="B305" s="194" t="str">
        <f>Vertaling!A159</f>
        <v>Maand 26</v>
      </c>
      <c r="C305" s="210" t="str">
        <f>Vertaling!$A$34</f>
        <v>vul bedrag in:</v>
      </c>
      <c r="D305" s="234"/>
      <c r="E305" s="413"/>
      <c r="F305" s="234"/>
      <c r="G305" s="23"/>
      <c r="H305" s="234"/>
      <c r="I305" s="23"/>
      <c r="J305" s="33"/>
      <c r="K305" s="33"/>
      <c r="L305" s="33"/>
      <c r="M305" s="33"/>
      <c r="N305" s="33"/>
      <c r="O305" s="33"/>
      <c r="P305" s="33"/>
      <c r="Q305" s="33"/>
      <c r="R305" s="33"/>
      <c r="S305" s="33"/>
      <c r="T305" s="33"/>
      <c r="U305" s="33"/>
      <c r="V305" s="33"/>
      <c r="W305" s="33"/>
      <c r="X305" s="33"/>
      <c r="Y305" s="33"/>
      <c r="Z305" s="33"/>
      <c r="AA305" s="33"/>
      <c r="AB305" s="33"/>
      <c r="AC305" s="33"/>
      <c r="AD305" s="33"/>
      <c r="AE305" s="33"/>
      <c r="AF305" s="33"/>
      <c r="AG305" s="33"/>
      <c r="AH305" s="33"/>
      <c r="AI305" s="33"/>
      <c r="AJ305" s="33"/>
      <c r="AK305" s="33"/>
      <c r="AL305" s="33"/>
      <c r="AM305" s="34"/>
      <c r="AN305" s="34"/>
      <c r="AO305" s="34"/>
      <c r="AP305" s="34"/>
      <c r="AQ305" s="34"/>
      <c r="AR305" s="34"/>
      <c r="AS305" s="34"/>
      <c r="AT305" s="34"/>
      <c r="AU305" s="34"/>
      <c r="AV305" s="34"/>
      <c r="AW305" s="34"/>
      <c r="AX305" s="34"/>
      <c r="AY305" s="34"/>
      <c r="AZ305" s="34"/>
      <c r="BA305" s="34"/>
      <c r="BB305" s="34"/>
      <c r="BC305" s="34"/>
      <c r="BD305" s="34"/>
      <c r="BE305" s="34"/>
      <c r="BF305" s="34"/>
      <c r="BG305" s="34"/>
      <c r="BH305" s="34"/>
      <c r="BI305" s="34"/>
      <c r="BJ305" s="34"/>
      <c r="BK305" s="34"/>
      <c r="BL305" s="34"/>
      <c r="BM305" s="23"/>
      <c r="BN305" s="23"/>
      <c r="BO305" s="23"/>
    </row>
    <row r="306" spans="1:67" s="24" customFormat="1" ht="7.5" customHeight="1" x14ac:dyDescent="0.25">
      <c r="A306" s="193"/>
      <c r="B306" s="194"/>
      <c r="C306" s="210"/>
      <c r="D306" s="235"/>
      <c r="E306" s="414"/>
      <c r="F306" s="235"/>
      <c r="G306" s="21"/>
      <c r="H306" s="235"/>
      <c r="I306" s="23"/>
      <c r="J306" s="33"/>
      <c r="K306" s="33"/>
      <c r="L306" s="33"/>
      <c r="M306" s="33"/>
      <c r="N306" s="33"/>
      <c r="O306" s="33"/>
      <c r="P306" s="33"/>
      <c r="Q306" s="33"/>
      <c r="R306" s="33"/>
      <c r="S306" s="33"/>
      <c r="T306" s="33"/>
      <c r="U306" s="33"/>
      <c r="V306" s="33"/>
      <c r="W306" s="33"/>
      <c r="X306" s="33"/>
      <c r="Y306" s="33"/>
      <c r="Z306" s="33"/>
      <c r="AA306" s="33"/>
      <c r="AB306" s="33"/>
      <c r="AC306" s="33"/>
      <c r="AD306" s="33"/>
      <c r="AE306" s="33"/>
      <c r="AF306" s="33"/>
      <c r="AG306" s="33"/>
      <c r="AH306" s="33"/>
      <c r="AI306" s="33"/>
      <c r="AJ306" s="33"/>
      <c r="AK306" s="33"/>
      <c r="AL306" s="33"/>
      <c r="AM306" s="34"/>
      <c r="AN306" s="34"/>
      <c r="AO306" s="34"/>
      <c r="AP306" s="34"/>
      <c r="AQ306" s="34"/>
      <c r="AR306" s="34"/>
      <c r="AS306" s="34"/>
      <c r="AT306" s="34"/>
      <c r="AU306" s="34"/>
      <c r="AV306" s="34"/>
      <c r="AW306" s="34"/>
      <c r="AX306" s="34"/>
      <c r="AY306" s="34"/>
      <c r="AZ306" s="34"/>
      <c r="BA306" s="34"/>
      <c r="BB306" s="34"/>
      <c r="BC306" s="34"/>
      <c r="BD306" s="34"/>
      <c r="BE306" s="34"/>
      <c r="BF306" s="34"/>
      <c r="BG306" s="34"/>
      <c r="BH306" s="34"/>
      <c r="BI306" s="34"/>
      <c r="BJ306" s="34"/>
      <c r="BK306" s="34"/>
      <c r="BL306" s="34"/>
      <c r="BM306" s="23"/>
      <c r="BN306" s="23"/>
      <c r="BO306" s="23"/>
    </row>
    <row r="307" spans="1:67" x14ac:dyDescent="0.25">
      <c r="A307" s="187" t="s">
        <v>30</v>
      </c>
      <c r="B307" s="194" t="str">
        <f>Vertaling!A160</f>
        <v>Maand 27</v>
      </c>
      <c r="C307" s="210" t="str">
        <f>Vertaling!$A$34</f>
        <v>vul bedrag in:</v>
      </c>
      <c r="D307" s="234"/>
      <c r="E307" s="413"/>
      <c r="F307" s="234"/>
      <c r="G307" s="23"/>
      <c r="H307" s="234"/>
    </row>
    <row r="308" spans="1:67" ht="7.5" customHeight="1" x14ac:dyDescent="0.25">
      <c r="B308" s="194"/>
      <c r="D308" s="235"/>
      <c r="E308" s="414"/>
      <c r="F308" s="235"/>
      <c r="G308" s="21"/>
      <c r="H308" s="235"/>
    </row>
    <row r="309" spans="1:67" x14ac:dyDescent="0.25">
      <c r="A309" s="187" t="s">
        <v>30</v>
      </c>
      <c r="B309" s="194" t="str">
        <f>Vertaling!A161</f>
        <v>Maand 28</v>
      </c>
      <c r="C309" s="210" t="str">
        <f>Vertaling!$A$34</f>
        <v>vul bedrag in:</v>
      </c>
      <c r="D309" s="234"/>
      <c r="E309" s="413"/>
      <c r="F309" s="234"/>
      <c r="G309" s="23"/>
      <c r="H309" s="234"/>
    </row>
    <row r="310" spans="1:67" ht="7.5" customHeight="1" x14ac:dyDescent="0.25">
      <c r="B310" s="194"/>
      <c r="D310" s="235"/>
      <c r="E310" s="414"/>
      <c r="F310" s="235"/>
      <c r="G310" s="21"/>
      <c r="H310" s="235"/>
    </row>
    <row r="311" spans="1:67" x14ac:dyDescent="0.25">
      <c r="A311" s="187" t="s">
        <v>30</v>
      </c>
      <c r="B311" s="194" t="str">
        <f>Vertaling!A162</f>
        <v>Maand 29</v>
      </c>
      <c r="C311" s="210" t="str">
        <f>Vertaling!$A$34</f>
        <v>vul bedrag in:</v>
      </c>
      <c r="D311" s="234"/>
      <c r="E311" s="413"/>
      <c r="F311" s="234"/>
      <c r="G311" s="23"/>
      <c r="H311" s="234"/>
    </row>
    <row r="312" spans="1:67" ht="7.5" customHeight="1" x14ac:dyDescent="0.25">
      <c r="B312" s="194"/>
      <c r="D312" s="235"/>
      <c r="E312" s="414"/>
      <c r="F312" s="235"/>
      <c r="G312" s="21"/>
      <c r="H312" s="235"/>
    </row>
    <row r="313" spans="1:67" x14ac:dyDescent="0.25">
      <c r="A313" s="187" t="s">
        <v>30</v>
      </c>
      <c r="B313" s="194" t="str">
        <f>Vertaling!A163</f>
        <v>Maand 30</v>
      </c>
      <c r="C313" s="210" t="str">
        <f>Vertaling!$A$34</f>
        <v>vul bedrag in:</v>
      </c>
      <c r="D313" s="234"/>
      <c r="E313" s="413"/>
      <c r="F313" s="234"/>
      <c r="G313" s="23"/>
      <c r="H313" s="234"/>
    </row>
    <row r="314" spans="1:67" ht="7.5" customHeight="1" x14ac:dyDescent="0.25">
      <c r="B314" s="194"/>
      <c r="D314" s="235"/>
      <c r="E314" s="414"/>
      <c r="F314" s="235"/>
      <c r="G314" s="21"/>
      <c r="H314" s="235"/>
    </row>
    <row r="315" spans="1:67" x14ac:dyDescent="0.25">
      <c r="A315" s="187" t="s">
        <v>30</v>
      </c>
      <c r="B315" s="194" t="str">
        <f>Vertaling!A164</f>
        <v>Maand 31</v>
      </c>
      <c r="C315" s="210" t="str">
        <f>Vertaling!$A$34</f>
        <v>vul bedrag in:</v>
      </c>
      <c r="D315" s="234"/>
      <c r="E315" s="413"/>
      <c r="F315" s="234"/>
      <c r="G315" s="23"/>
      <c r="H315" s="234"/>
    </row>
    <row r="316" spans="1:67" ht="7.5" customHeight="1" x14ac:dyDescent="0.25">
      <c r="B316" s="194"/>
      <c r="D316" s="235"/>
      <c r="E316" s="414"/>
      <c r="F316" s="235"/>
      <c r="G316" s="21"/>
      <c r="H316" s="235"/>
    </row>
    <row r="317" spans="1:67" x14ac:dyDescent="0.25">
      <c r="A317" s="187" t="s">
        <v>30</v>
      </c>
      <c r="B317" s="194" t="str">
        <f>Vertaling!A165</f>
        <v>Maand 32</v>
      </c>
      <c r="C317" s="210" t="str">
        <f>Vertaling!$A$34</f>
        <v>vul bedrag in:</v>
      </c>
      <c r="D317" s="234"/>
      <c r="E317" s="413"/>
      <c r="F317" s="234"/>
      <c r="G317" s="23"/>
      <c r="H317" s="234"/>
    </row>
    <row r="318" spans="1:67" ht="7.5" customHeight="1" x14ac:dyDescent="0.25">
      <c r="B318" s="194"/>
      <c r="D318" s="235"/>
      <c r="E318" s="414"/>
      <c r="F318" s="235"/>
      <c r="G318" s="21"/>
      <c r="H318" s="235"/>
    </row>
    <row r="319" spans="1:67" x14ac:dyDescent="0.25">
      <c r="A319" s="187" t="s">
        <v>30</v>
      </c>
      <c r="B319" s="194" t="str">
        <f>Vertaling!A166</f>
        <v>Maand 33</v>
      </c>
      <c r="C319" s="210" t="str">
        <f>Vertaling!$A$34</f>
        <v>vul bedrag in:</v>
      </c>
      <c r="D319" s="234"/>
      <c r="E319" s="413"/>
      <c r="F319" s="234"/>
      <c r="G319" s="23"/>
      <c r="H319" s="234"/>
    </row>
    <row r="320" spans="1:67" ht="7.5" customHeight="1" x14ac:dyDescent="0.25">
      <c r="B320" s="194"/>
      <c r="D320" s="235"/>
      <c r="E320" s="414"/>
      <c r="F320" s="235"/>
      <c r="G320" s="21"/>
      <c r="H320" s="235"/>
    </row>
    <row r="321" spans="1:67" x14ac:dyDescent="0.25">
      <c r="A321" s="187" t="s">
        <v>30</v>
      </c>
      <c r="B321" s="194" t="str">
        <f>Vertaling!A167</f>
        <v>Maand 34</v>
      </c>
      <c r="C321" s="210" t="str">
        <f>Vertaling!$A$34</f>
        <v>vul bedrag in:</v>
      </c>
      <c r="D321" s="234"/>
      <c r="E321" s="413"/>
      <c r="F321" s="234"/>
      <c r="G321" s="23"/>
      <c r="H321" s="234"/>
    </row>
    <row r="322" spans="1:67" ht="7.5" customHeight="1" x14ac:dyDescent="0.25">
      <c r="D322" s="235"/>
      <c r="E322" s="414"/>
      <c r="F322" s="235"/>
      <c r="G322" s="21"/>
      <c r="H322" s="235"/>
    </row>
    <row r="323" spans="1:67" ht="15" customHeight="1" x14ac:dyDescent="0.25">
      <c r="A323" s="187" t="s">
        <v>30</v>
      </c>
      <c r="B323" s="194" t="str">
        <f>Vertaling!A168</f>
        <v>Maand 35</v>
      </c>
      <c r="C323" s="210" t="str">
        <f>Vertaling!$A$34</f>
        <v>vul bedrag in:</v>
      </c>
      <c r="D323" s="234"/>
      <c r="E323" s="413"/>
      <c r="F323" s="234"/>
      <c r="G323" s="23"/>
      <c r="H323" s="234"/>
    </row>
    <row r="324" spans="1:67" ht="7.5" customHeight="1" x14ac:dyDescent="0.25">
      <c r="D324" s="235"/>
      <c r="E324" s="414"/>
      <c r="F324" s="235"/>
      <c r="G324" s="21"/>
      <c r="H324" s="235"/>
    </row>
    <row r="325" spans="1:67" ht="15" customHeight="1" x14ac:dyDescent="0.25">
      <c r="A325" s="187" t="s">
        <v>30</v>
      </c>
      <c r="B325" s="194" t="str">
        <f>Vertaling!A169</f>
        <v>Maand 36</v>
      </c>
      <c r="C325" s="210" t="str">
        <f>Vertaling!$A$34</f>
        <v>vul bedrag in:</v>
      </c>
      <c r="D325" s="234"/>
      <c r="E325" s="413"/>
      <c r="F325" s="234"/>
      <c r="G325" s="23"/>
      <c r="H325" s="234"/>
    </row>
    <row r="326" spans="1:67" ht="15" customHeight="1" x14ac:dyDescent="0.25">
      <c r="H326" s="224"/>
    </row>
    <row r="327" spans="1:67" x14ac:dyDescent="0.25">
      <c r="B327" s="205" t="str">
        <f>Vertaling!A170</f>
        <v>Privé: aftrekposten Belastingdienst</v>
      </c>
      <c r="C327" s="258" t="str">
        <f>Vertaling!$A$304</f>
        <v>Wat is dit?</v>
      </c>
      <c r="F327" s="255"/>
      <c r="G327" s="436"/>
      <c r="H327" s="209"/>
      <c r="I327" s="51"/>
    </row>
    <row r="328" spans="1:67" ht="26.25" x14ac:dyDescent="0.25">
      <c r="A328" s="193" t="str">
        <f>CONCATENATE(LEFT(A254,2)+1,".")</f>
        <v>29.</v>
      </c>
      <c r="B328" s="206" t="str">
        <f>Vertaling!A171</f>
        <v>Mag je ter vermindering van je belastbaar inkomen de onderstaande aftrekposten opvoeren?</v>
      </c>
      <c r="C328" s="216"/>
      <c r="D328" s="209" t="str">
        <f>D14</f>
        <v/>
      </c>
      <c r="E328" s="401"/>
      <c r="H328" s="209"/>
    </row>
    <row r="329" spans="1:67" s="24" customFormat="1" x14ac:dyDescent="0.25">
      <c r="A329" s="117"/>
      <c r="B329" s="194" t="str">
        <f>Vertaling!A172</f>
        <v>Zelfstandigenaftrek</v>
      </c>
      <c r="C329" s="210" t="str">
        <f>Vertaling!A32</f>
        <v>selecteer:</v>
      </c>
      <c r="D329" s="243"/>
      <c r="E329" s="419"/>
      <c r="F329" s="210" t="str">
        <f>Vertaling!A32</f>
        <v>selecteer:</v>
      </c>
      <c r="G329" s="403"/>
      <c r="H329" s="243"/>
      <c r="I329" s="48"/>
      <c r="J329" s="33"/>
      <c r="K329" s="33"/>
      <c r="L329" s="33"/>
      <c r="M329" s="33"/>
      <c r="N329" s="33"/>
      <c r="O329" s="33"/>
      <c r="P329" s="33"/>
      <c r="Q329" s="33"/>
      <c r="R329" s="33"/>
      <c r="S329" s="33"/>
      <c r="T329" s="33"/>
      <c r="U329" s="33"/>
      <c r="V329" s="33"/>
      <c r="W329" s="33"/>
      <c r="X329" s="33"/>
      <c r="Y329" s="33"/>
      <c r="Z329" s="33"/>
      <c r="AA329" s="33"/>
      <c r="AB329" s="33"/>
      <c r="AC329" s="33"/>
      <c r="AD329" s="33"/>
      <c r="AE329" s="33"/>
      <c r="AF329" s="33"/>
      <c r="AG329" s="33"/>
      <c r="AH329" s="33"/>
      <c r="AI329" s="33"/>
      <c r="AJ329" s="33"/>
      <c r="AK329" s="33"/>
      <c r="AL329" s="33"/>
      <c r="AM329" s="34"/>
      <c r="AN329" s="34"/>
      <c r="AO329" s="34"/>
      <c r="AP329" s="34"/>
      <c r="AQ329" s="34"/>
      <c r="AR329" s="34"/>
      <c r="AS329" s="34"/>
      <c r="AT329" s="34"/>
      <c r="AU329" s="34"/>
      <c r="AV329" s="34"/>
      <c r="AW329" s="34"/>
      <c r="AX329" s="34"/>
      <c r="AY329" s="34"/>
      <c r="AZ329" s="34"/>
      <c r="BA329" s="34"/>
      <c r="BB329" s="34"/>
      <c r="BC329" s="34"/>
      <c r="BD329" s="34"/>
      <c r="BE329" s="34"/>
      <c r="BF329" s="34"/>
      <c r="BG329" s="34"/>
      <c r="BH329" s="34"/>
      <c r="BI329" s="34"/>
      <c r="BJ329" s="34"/>
      <c r="BK329" s="34"/>
      <c r="BL329" s="34"/>
      <c r="BM329" s="23"/>
      <c r="BN329" s="23"/>
      <c r="BO329" s="23"/>
    </row>
    <row r="330" spans="1:67" ht="7.5" customHeight="1" x14ac:dyDescent="0.25">
      <c r="A330" s="195"/>
      <c r="B330" s="194"/>
      <c r="C330" s="210"/>
      <c r="D330" s="235"/>
      <c r="E330" s="414"/>
      <c r="F330" s="210"/>
      <c r="G330" s="403"/>
      <c r="H330" s="235"/>
      <c r="I330" s="21"/>
    </row>
    <row r="331" spans="1:67" s="24" customFormat="1" x14ac:dyDescent="0.25">
      <c r="A331" s="117"/>
      <c r="B331" s="194" t="str">
        <f>Vertaling!A173</f>
        <v>Startersaftrek</v>
      </c>
      <c r="C331" s="210" t="str">
        <f>Vertaling!$A$32</f>
        <v>selecteer:</v>
      </c>
      <c r="D331" s="243"/>
      <c r="E331" s="419"/>
      <c r="F331" s="210" t="str">
        <f>Vertaling!A32</f>
        <v>selecteer:</v>
      </c>
      <c r="G331" s="403"/>
      <c r="H331" s="243"/>
      <c r="I331" s="48"/>
      <c r="J331" s="33"/>
      <c r="K331" s="33"/>
      <c r="L331" s="33"/>
      <c r="M331" s="33"/>
      <c r="N331" s="33"/>
      <c r="O331" s="33"/>
      <c r="P331" s="33"/>
      <c r="Q331" s="33"/>
      <c r="R331" s="33"/>
      <c r="S331" s="33"/>
      <c r="T331" s="33"/>
      <c r="U331" s="33"/>
      <c r="V331" s="33"/>
      <c r="W331" s="33"/>
      <c r="X331" s="33"/>
      <c r="Y331" s="33"/>
      <c r="Z331" s="33"/>
      <c r="AA331" s="33"/>
      <c r="AB331" s="33"/>
      <c r="AC331" s="33"/>
      <c r="AD331" s="33"/>
      <c r="AE331" s="33"/>
      <c r="AF331" s="33"/>
      <c r="AG331" s="33"/>
      <c r="AH331" s="33"/>
      <c r="AI331" s="33"/>
      <c r="AJ331" s="33"/>
      <c r="AK331" s="33"/>
      <c r="AL331" s="33"/>
      <c r="AM331" s="34"/>
      <c r="AN331" s="34"/>
      <c r="AO331" s="34"/>
      <c r="AP331" s="34"/>
      <c r="AQ331" s="34"/>
      <c r="AR331" s="34"/>
      <c r="AS331" s="34"/>
      <c r="AT331" s="34"/>
      <c r="AU331" s="34"/>
      <c r="AV331" s="34"/>
      <c r="AW331" s="34"/>
      <c r="AX331" s="34"/>
      <c r="AY331" s="34"/>
      <c r="AZ331" s="34"/>
      <c r="BA331" s="34"/>
      <c r="BB331" s="34"/>
      <c r="BC331" s="34"/>
      <c r="BD331" s="34"/>
      <c r="BE331" s="34"/>
      <c r="BF331" s="34"/>
      <c r="BG331" s="34"/>
      <c r="BH331" s="34"/>
      <c r="BI331" s="34"/>
      <c r="BJ331" s="34"/>
      <c r="BK331" s="34"/>
      <c r="BL331" s="34"/>
      <c r="BM331" s="23"/>
      <c r="BN331" s="23"/>
      <c r="BO331" s="23"/>
    </row>
    <row r="332" spans="1:67" ht="7.5" customHeight="1" x14ac:dyDescent="0.25">
      <c r="A332" s="195"/>
      <c r="B332" s="194"/>
      <c r="C332" s="210"/>
      <c r="D332" s="235"/>
      <c r="E332" s="414"/>
      <c r="F332" s="210"/>
      <c r="G332" s="403"/>
      <c r="H332" s="235"/>
      <c r="I332" s="21"/>
    </row>
    <row r="333" spans="1:67" s="24" customFormat="1" ht="30" customHeight="1" x14ac:dyDescent="0.25">
      <c r="A333" s="117"/>
      <c r="B333" s="207" t="str">
        <f>Vertaling!A174</f>
        <v>Meewerkaftrek</v>
      </c>
      <c r="C333" s="210" t="str">
        <f>Vertaling!$A$32</f>
        <v>selecteer:</v>
      </c>
      <c r="D333" s="226"/>
      <c r="E333" s="407"/>
      <c r="F333" s="210" t="str">
        <f>Vertaling!A32</f>
        <v>selecteer:</v>
      </c>
      <c r="G333" s="403"/>
      <c r="H333" s="226"/>
      <c r="I333" s="48"/>
      <c r="J333" s="33"/>
      <c r="K333" s="33"/>
      <c r="L333" s="33"/>
      <c r="M333" s="33"/>
      <c r="N333" s="33"/>
      <c r="O333" s="33"/>
      <c r="P333" s="33"/>
      <c r="Q333" s="33"/>
      <c r="R333" s="33"/>
      <c r="S333" s="33"/>
      <c r="T333" s="33"/>
      <c r="U333" s="33"/>
      <c r="V333" s="33"/>
      <c r="W333" s="33"/>
      <c r="X333" s="33"/>
      <c r="Y333" s="33"/>
      <c r="Z333" s="33"/>
      <c r="AA333" s="33"/>
      <c r="AB333" s="33"/>
      <c r="AC333" s="33"/>
      <c r="AD333" s="33"/>
      <c r="AE333" s="33"/>
      <c r="AF333" s="33"/>
      <c r="AG333" s="33"/>
      <c r="AH333" s="33"/>
      <c r="AI333" s="33"/>
      <c r="AJ333" s="33"/>
      <c r="AK333" s="33"/>
      <c r="AL333" s="33"/>
      <c r="AM333" s="34"/>
      <c r="AN333" s="34"/>
      <c r="AO333" s="34"/>
      <c r="AP333" s="34"/>
      <c r="AQ333" s="34"/>
      <c r="AR333" s="34"/>
      <c r="AS333" s="34"/>
      <c r="AT333" s="34"/>
      <c r="AU333" s="34"/>
      <c r="AV333" s="34"/>
      <c r="AW333" s="34"/>
      <c r="AX333" s="34"/>
      <c r="AY333" s="34"/>
      <c r="AZ333" s="34"/>
      <c r="BA333" s="34"/>
      <c r="BB333" s="34"/>
      <c r="BC333" s="34"/>
      <c r="BD333" s="34"/>
      <c r="BE333" s="34"/>
      <c r="BF333" s="34"/>
      <c r="BG333" s="34"/>
      <c r="BH333" s="34"/>
      <c r="BI333" s="34"/>
      <c r="BJ333" s="34"/>
      <c r="BK333" s="34"/>
      <c r="BL333" s="34"/>
      <c r="BM333" s="23"/>
      <c r="BN333" s="23"/>
      <c r="BO333" s="23"/>
    </row>
    <row r="334" spans="1:67" ht="7.5" customHeight="1" x14ac:dyDescent="0.25">
      <c r="A334" s="116"/>
      <c r="B334" s="143"/>
      <c r="C334" s="210"/>
      <c r="D334" s="235"/>
      <c r="E334" s="414"/>
      <c r="F334" s="210"/>
      <c r="G334" s="403"/>
      <c r="H334" s="235"/>
      <c r="I334" s="21"/>
    </row>
    <row r="335" spans="1:67" x14ac:dyDescent="0.25">
      <c r="A335" s="139"/>
      <c r="B335" s="23"/>
      <c r="C335" s="216"/>
      <c r="D335" s="192"/>
      <c r="E335" s="425"/>
      <c r="H335" s="190"/>
      <c r="I335" s="23"/>
    </row>
    <row r="336" spans="1:67" x14ac:dyDescent="0.25">
      <c r="A336" s="140"/>
      <c r="B336" s="38"/>
      <c r="C336" s="259"/>
      <c r="D336" s="260"/>
      <c r="E336" s="260"/>
      <c r="F336" s="260"/>
      <c r="G336" s="260"/>
      <c r="H336" s="260"/>
      <c r="I336" s="260"/>
    </row>
    <row r="337" spans="1:9" x14ac:dyDescent="0.25">
      <c r="A337" s="140"/>
      <c r="B337" s="38"/>
      <c r="C337" s="259"/>
      <c r="D337" s="260"/>
      <c r="E337" s="260"/>
      <c r="F337" s="260"/>
      <c r="G337" s="260"/>
      <c r="H337" s="260"/>
      <c r="I337" s="260"/>
    </row>
    <row r="338" spans="1:9" x14ac:dyDescent="0.25">
      <c r="A338" s="140"/>
      <c r="B338" s="38"/>
      <c r="C338" s="259"/>
      <c r="D338" s="260"/>
      <c r="E338" s="260"/>
      <c r="F338" s="260"/>
      <c r="G338" s="260"/>
      <c r="H338" s="260"/>
      <c r="I338" s="260"/>
    </row>
    <row r="339" spans="1:9" x14ac:dyDescent="0.25">
      <c r="A339" s="140"/>
      <c r="B339" s="38"/>
      <c r="C339" s="259"/>
      <c r="D339" s="260"/>
      <c r="E339" s="260"/>
      <c r="F339" s="260"/>
      <c r="G339" s="260"/>
      <c r="H339" s="260"/>
      <c r="I339" s="260"/>
    </row>
    <row r="340" spans="1:9" x14ac:dyDescent="0.25">
      <c r="A340" s="140"/>
      <c r="B340" s="38"/>
      <c r="C340" s="259"/>
      <c r="D340" s="260"/>
      <c r="E340" s="260"/>
      <c r="F340" s="260"/>
      <c r="G340" s="260"/>
      <c r="H340" s="260"/>
      <c r="I340" s="260"/>
    </row>
    <row r="341" spans="1:9" x14ac:dyDescent="0.25">
      <c r="A341" s="140"/>
      <c r="B341" s="38"/>
      <c r="C341" s="259"/>
      <c r="D341" s="260"/>
      <c r="E341" s="260"/>
      <c r="F341" s="260"/>
      <c r="G341" s="260"/>
      <c r="H341" s="260"/>
      <c r="I341" s="260"/>
    </row>
    <row r="342" spans="1:9" x14ac:dyDescent="0.25">
      <c r="A342" s="140"/>
      <c r="B342" s="38"/>
      <c r="C342" s="259"/>
      <c r="D342" s="260"/>
      <c r="E342" s="260"/>
      <c r="F342" s="260"/>
      <c r="G342" s="260"/>
      <c r="H342" s="260"/>
      <c r="I342" s="260"/>
    </row>
    <row r="343" spans="1:9" x14ac:dyDescent="0.25">
      <c r="A343" s="140"/>
      <c r="B343" s="38"/>
      <c r="C343" s="259"/>
      <c r="D343" s="260"/>
      <c r="E343" s="260"/>
      <c r="F343" s="260"/>
      <c r="G343" s="260"/>
      <c r="H343" s="260"/>
      <c r="I343" s="260"/>
    </row>
    <row r="344" spans="1:9" x14ac:dyDescent="0.25">
      <c r="A344" s="140"/>
      <c r="B344" s="38"/>
      <c r="C344" s="259"/>
      <c r="D344" s="260"/>
      <c r="E344" s="260"/>
      <c r="F344" s="260"/>
      <c r="G344" s="260"/>
      <c r="H344" s="260"/>
      <c r="I344" s="260"/>
    </row>
    <row r="345" spans="1:9" x14ac:dyDescent="0.25">
      <c r="A345" s="140"/>
      <c r="B345" s="38"/>
      <c r="C345" s="259"/>
      <c r="D345" s="260"/>
      <c r="E345" s="260"/>
      <c r="F345" s="260"/>
      <c r="G345" s="260"/>
      <c r="H345" s="260"/>
      <c r="I345" s="260"/>
    </row>
    <row r="346" spans="1:9" x14ac:dyDescent="0.25">
      <c r="A346" s="140"/>
      <c r="B346" s="38"/>
      <c r="C346" s="259"/>
      <c r="D346" s="260"/>
      <c r="E346" s="260"/>
      <c r="F346" s="260"/>
      <c r="G346" s="260"/>
      <c r="H346" s="260"/>
      <c r="I346" s="260"/>
    </row>
    <row r="347" spans="1:9" x14ac:dyDescent="0.25">
      <c r="A347" s="140"/>
      <c r="B347" s="38"/>
      <c r="C347" s="259"/>
      <c r="D347" s="260"/>
      <c r="E347" s="260"/>
      <c r="F347" s="260"/>
      <c r="G347" s="260"/>
      <c r="H347" s="260"/>
      <c r="I347" s="260"/>
    </row>
    <row r="348" spans="1:9" x14ac:dyDescent="0.25">
      <c r="A348" s="140"/>
      <c r="B348" s="38"/>
      <c r="C348" s="259"/>
      <c r="D348" s="260"/>
      <c r="E348" s="260"/>
      <c r="F348" s="260"/>
      <c r="G348" s="260"/>
      <c r="H348" s="260"/>
      <c r="I348" s="260"/>
    </row>
    <row r="349" spans="1:9" x14ac:dyDescent="0.25">
      <c r="A349" s="140"/>
      <c r="B349" s="38"/>
      <c r="C349" s="259"/>
      <c r="D349" s="260"/>
      <c r="E349" s="260"/>
      <c r="F349" s="260"/>
      <c r="G349" s="260"/>
      <c r="H349" s="260"/>
      <c r="I349" s="260"/>
    </row>
    <row r="350" spans="1:9" x14ac:dyDescent="0.25">
      <c r="A350" s="140"/>
      <c r="B350" s="38"/>
      <c r="C350" s="259"/>
      <c r="D350" s="260"/>
      <c r="E350" s="260"/>
      <c r="F350" s="260"/>
      <c r="G350" s="260"/>
      <c r="H350" s="260"/>
      <c r="I350" s="260"/>
    </row>
    <row r="351" spans="1:9" x14ac:dyDescent="0.25">
      <c r="A351" s="140"/>
      <c r="B351" s="38"/>
      <c r="C351" s="259"/>
      <c r="D351" s="260"/>
      <c r="E351" s="260"/>
      <c r="F351" s="260"/>
      <c r="G351" s="260"/>
      <c r="H351" s="260"/>
      <c r="I351" s="260"/>
    </row>
    <row r="352" spans="1:9" x14ac:dyDescent="0.25">
      <c r="A352" s="140"/>
      <c r="B352" s="38"/>
      <c r="C352" s="259"/>
      <c r="D352" s="260"/>
      <c r="E352" s="260"/>
      <c r="F352" s="260"/>
      <c r="G352" s="260"/>
      <c r="H352" s="260"/>
      <c r="I352" s="260"/>
    </row>
    <row r="353" spans="1:9" x14ac:dyDescent="0.25">
      <c r="A353" s="140"/>
      <c r="B353" s="38"/>
      <c r="C353" s="259"/>
      <c r="D353" s="260"/>
      <c r="E353" s="260"/>
      <c r="F353" s="260"/>
      <c r="G353" s="260"/>
      <c r="H353" s="260"/>
      <c r="I353" s="260"/>
    </row>
    <row r="354" spans="1:9" x14ac:dyDescent="0.25">
      <c r="A354" s="140"/>
      <c r="B354" s="38"/>
      <c r="C354" s="259"/>
      <c r="D354" s="260"/>
      <c r="E354" s="260"/>
      <c r="F354" s="260"/>
      <c r="G354" s="260"/>
      <c r="H354" s="260"/>
      <c r="I354" s="260"/>
    </row>
    <row r="355" spans="1:9" x14ac:dyDescent="0.25">
      <c r="A355" s="140"/>
      <c r="B355" s="38"/>
      <c r="C355" s="259"/>
      <c r="D355" s="260"/>
      <c r="E355" s="260"/>
      <c r="F355" s="260"/>
      <c r="G355" s="260"/>
      <c r="H355" s="260"/>
      <c r="I355" s="260"/>
    </row>
    <row r="356" spans="1:9" x14ac:dyDescent="0.25">
      <c r="A356" s="140"/>
      <c r="B356" s="38"/>
      <c r="C356" s="259"/>
      <c r="D356" s="260"/>
      <c r="E356" s="260"/>
      <c r="F356" s="260"/>
      <c r="G356" s="260"/>
      <c r="H356" s="260"/>
      <c r="I356" s="260"/>
    </row>
    <row r="357" spans="1:9" x14ac:dyDescent="0.25">
      <c r="A357" s="140"/>
      <c r="B357" s="38"/>
      <c r="C357" s="259"/>
      <c r="D357" s="260"/>
      <c r="E357" s="260"/>
      <c r="F357" s="260"/>
      <c r="G357" s="260"/>
      <c r="H357" s="260"/>
      <c r="I357" s="260"/>
    </row>
    <row r="358" spans="1:9" x14ac:dyDescent="0.25">
      <c r="A358" s="140"/>
      <c r="B358" s="38"/>
      <c r="C358" s="259"/>
      <c r="D358" s="260"/>
      <c r="E358" s="260"/>
      <c r="F358" s="260"/>
      <c r="G358" s="260"/>
      <c r="H358" s="260"/>
      <c r="I358" s="260"/>
    </row>
    <row r="359" spans="1:9" x14ac:dyDescent="0.25">
      <c r="A359" s="140"/>
      <c r="B359" s="38"/>
      <c r="C359" s="259"/>
      <c r="D359" s="260"/>
      <c r="E359" s="260"/>
      <c r="F359" s="260"/>
      <c r="G359" s="260"/>
      <c r="H359" s="260"/>
      <c r="I359" s="260"/>
    </row>
    <row r="360" spans="1:9" x14ac:dyDescent="0.25">
      <c r="A360" s="140"/>
      <c r="B360" s="38"/>
      <c r="C360" s="259"/>
      <c r="D360" s="260"/>
      <c r="E360" s="260"/>
      <c r="F360" s="260"/>
      <c r="G360" s="260"/>
      <c r="H360" s="260"/>
      <c r="I360" s="260"/>
    </row>
    <row r="361" spans="1:9" x14ac:dyDescent="0.25">
      <c r="A361" s="140"/>
      <c r="B361" s="38"/>
      <c r="C361" s="259"/>
      <c r="D361" s="260"/>
      <c r="E361" s="260"/>
      <c r="F361" s="260"/>
      <c r="G361" s="260"/>
      <c r="H361" s="260"/>
      <c r="I361" s="260"/>
    </row>
    <row r="362" spans="1:9" x14ac:dyDescent="0.25">
      <c r="A362" s="140"/>
      <c r="B362" s="38"/>
      <c r="C362" s="259"/>
      <c r="D362" s="260"/>
      <c r="E362" s="260"/>
      <c r="F362" s="260"/>
      <c r="G362" s="260"/>
      <c r="H362" s="260"/>
      <c r="I362" s="260"/>
    </row>
    <row r="363" spans="1:9" x14ac:dyDescent="0.25">
      <c r="A363" s="140"/>
      <c r="B363" s="38"/>
      <c r="C363" s="259"/>
      <c r="D363" s="260"/>
      <c r="E363" s="260"/>
      <c r="F363" s="260"/>
      <c r="G363" s="260"/>
      <c r="H363" s="260"/>
      <c r="I363" s="260"/>
    </row>
    <row r="364" spans="1:9" x14ac:dyDescent="0.25">
      <c r="A364" s="140"/>
      <c r="B364" s="38"/>
      <c r="C364" s="259"/>
      <c r="D364" s="260"/>
      <c r="E364" s="260"/>
      <c r="F364" s="260"/>
      <c r="G364" s="260"/>
      <c r="H364" s="260"/>
      <c r="I364" s="260"/>
    </row>
    <row r="365" spans="1:9" x14ac:dyDescent="0.25">
      <c r="A365" s="140"/>
      <c r="B365" s="38"/>
      <c r="C365" s="259"/>
      <c r="D365" s="260"/>
      <c r="E365" s="260"/>
      <c r="F365" s="260"/>
      <c r="G365" s="260"/>
      <c r="H365" s="260"/>
      <c r="I365" s="260"/>
    </row>
    <row r="366" spans="1:9" x14ac:dyDescent="0.25">
      <c r="A366" s="140"/>
      <c r="B366" s="38"/>
      <c r="C366" s="259"/>
      <c r="D366" s="260"/>
      <c r="E366" s="260"/>
      <c r="F366" s="260"/>
      <c r="G366" s="260"/>
      <c r="H366" s="260"/>
      <c r="I366" s="260"/>
    </row>
    <row r="367" spans="1:9" x14ac:dyDescent="0.25">
      <c r="A367" s="140"/>
      <c r="B367" s="38"/>
      <c r="C367" s="259"/>
      <c r="D367" s="260"/>
      <c r="E367" s="260"/>
      <c r="F367" s="260"/>
      <c r="G367" s="260"/>
      <c r="H367" s="260"/>
      <c r="I367" s="260"/>
    </row>
    <row r="368" spans="1:9" x14ac:dyDescent="0.25">
      <c r="A368" s="140"/>
      <c r="B368" s="38"/>
      <c r="C368" s="259"/>
      <c r="D368" s="260"/>
      <c r="E368" s="260"/>
      <c r="F368" s="260"/>
      <c r="G368" s="260"/>
      <c r="H368" s="260"/>
      <c r="I368" s="260"/>
    </row>
    <row r="369" spans="1:9" x14ac:dyDescent="0.25">
      <c r="A369" s="140"/>
      <c r="B369" s="38"/>
      <c r="C369" s="259"/>
      <c r="D369" s="260"/>
      <c r="E369" s="260"/>
      <c r="F369" s="260"/>
      <c r="G369" s="260"/>
      <c r="H369" s="260"/>
      <c r="I369" s="260"/>
    </row>
    <row r="370" spans="1:9" x14ac:dyDescent="0.25">
      <c r="A370" s="140"/>
      <c r="B370" s="38"/>
      <c r="C370" s="259"/>
      <c r="D370" s="260"/>
      <c r="E370" s="260"/>
      <c r="F370" s="260"/>
      <c r="G370" s="260"/>
      <c r="H370" s="260"/>
      <c r="I370" s="260"/>
    </row>
    <row r="371" spans="1:9" x14ac:dyDescent="0.25">
      <c r="A371" s="140"/>
      <c r="B371" s="38"/>
      <c r="C371" s="259"/>
      <c r="D371" s="260"/>
      <c r="E371" s="260"/>
      <c r="F371" s="260"/>
      <c r="G371" s="260"/>
      <c r="H371" s="260"/>
      <c r="I371" s="260"/>
    </row>
    <row r="372" spans="1:9" x14ac:dyDescent="0.25">
      <c r="A372" s="140"/>
      <c r="B372" s="38"/>
      <c r="C372" s="259"/>
      <c r="D372" s="260"/>
      <c r="E372" s="260"/>
      <c r="F372" s="260"/>
      <c r="G372" s="260"/>
      <c r="H372" s="260"/>
      <c r="I372" s="260"/>
    </row>
    <row r="373" spans="1:9" x14ac:dyDescent="0.25">
      <c r="A373" s="140"/>
      <c r="B373" s="38"/>
      <c r="C373" s="259"/>
      <c r="D373" s="260"/>
      <c r="E373" s="260"/>
      <c r="F373" s="260"/>
      <c r="G373" s="260"/>
      <c r="H373" s="260"/>
      <c r="I373" s="260"/>
    </row>
    <row r="374" spans="1:9" x14ac:dyDescent="0.25">
      <c r="A374" s="140"/>
      <c r="B374" s="38"/>
      <c r="C374" s="259"/>
      <c r="D374" s="260"/>
      <c r="E374" s="260"/>
      <c r="F374" s="260"/>
      <c r="G374" s="260"/>
      <c r="H374" s="260"/>
      <c r="I374" s="260"/>
    </row>
    <row r="375" spans="1:9" x14ac:dyDescent="0.25">
      <c r="A375" s="140"/>
      <c r="B375" s="38"/>
      <c r="C375" s="259"/>
      <c r="D375" s="260"/>
      <c r="E375" s="260"/>
      <c r="F375" s="260"/>
      <c r="G375" s="260"/>
      <c r="H375" s="260"/>
      <c r="I375" s="260"/>
    </row>
    <row r="376" spans="1:9" x14ac:dyDescent="0.25">
      <c r="A376" s="140"/>
      <c r="B376" s="38"/>
      <c r="C376" s="259"/>
      <c r="D376" s="260"/>
      <c r="E376" s="260"/>
      <c r="F376" s="260"/>
      <c r="G376" s="260"/>
      <c r="H376" s="260"/>
      <c r="I376" s="260"/>
    </row>
    <row r="377" spans="1:9" x14ac:dyDescent="0.25">
      <c r="A377" s="140"/>
      <c r="B377" s="38"/>
      <c r="C377" s="259"/>
      <c r="D377" s="260"/>
      <c r="E377" s="260"/>
      <c r="F377" s="260"/>
      <c r="G377" s="260"/>
      <c r="H377" s="260"/>
      <c r="I377" s="260"/>
    </row>
    <row r="378" spans="1:9" x14ac:dyDescent="0.25">
      <c r="A378" s="140"/>
      <c r="B378" s="38"/>
      <c r="C378" s="259"/>
      <c r="D378" s="260"/>
      <c r="E378" s="260"/>
      <c r="F378" s="260"/>
      <c r="G378" s="260"/>
      <c r="H378" s="260"/>
      <c r="I378" s="260"/>
    </row>
    <row r="379" spans="1:9" x14ac:dyDescent="0.25">
      <c r="A379" s="140"/>
      <c r="B379" s="38"/>
      <c r="C379" s="259"/>
      <c r="D379" s="260"/>
      <c r="E379" s="260"/>
      <c r="F379" s="260"/>
      <c r="G379" s="260"/>
      <c r="H379" s="260"/>
      <c r="I379" s="260"/>
    </row>
    <row r="380" spans="1:9" x14ac:dyDescent="0.25">
      <c r="A380" s="140"/>
      <c r="B380" s="38"/>
      <c r="C380" s="259"/>
      <c r="D380" s="260"/>
      <c r="E380" s="260"/>
      <c r="F380" s="260"/>
      <c r="G380" s="260"/>
      <c r="H380" s="260"/>
      <c r="I380" s="260"/>
    </row>
    <row r="381" spans="1:9" x14ac:dyDescent="0.25">
      <c r="A381" s="140"/>
      <c r="B381" s="38"/>
      <c r="C381" s="259"/>
      <c r="D381" s="260"/>
      <c r="E381" s="260"/>
      <c r="F381" s="260"/>
      <c r="G381" s="260"/>
      <c r="H381" s="260"/>
      <c r="I381" s="260"/>
    </row>
    <row r="382" spans="1:9" x14ac:dyDescent="0.25">
      <c r="A382" s="140"/>
      <c r="B382" s="38"/>
      <c r="C382" s="259"/>
      <c r="D382" s="260"/>
      <c r="E382" s="260"/>
      <c r="F382" s="260"/>
      <c r="G382" s="260"/>
      <c r="H382" s="260"/>
      <c r="I382" s="260"/>
    </row>
    <row r="383" spans="1:9" x14ac:dyDescent="0.25">
      <c r="A383" s="140"/>
      <c r="B383" s="38"/>
      <c r="C383" s="259"/>
      <c r="D383" s="260"/>
      <c r="E383" s="260"/>
      <c r="F383" s="260"/>
      <c r="G383" s="260"/>
      <c r="H383" s="260"/>
      <c r="I383" s="260"/>
    </row>
    <row r="384" spans="1:9" x14ac:dyDescent="0.25">
      <c r="A384" s="140"/>
      <c r="B384" s="38"/>
      <c r="C384" s="259"/>
      <c r="D384" s="260"/>
      <c r="E384" s="260"/>
      <c r="F384" s="260"/>
      <c r="G384" s="260"/>
      <c r="H384" s="260"/>
      <c r="I384" s="260"/>
    </row>
    <row r="385" spans="1:9" x14ac:dyDescent="0.25">
      <c r="A385" s="140"/>
      <c r="B385" s="38"/>
      <c r="C385" s="259"/>
      <c r="D385" s="260"/>
      <c r="E385" s="260"/>
      <c r="F385" s="260"/>
      <c r="G385" s="260"/>
      <c r="H385" s="260"/>
      <c r="I385" s="260"/>
    </row>
    <row r="386" spans="1:9" x14ac:dyDescent="0.25">
      <c r="A386" s="140"/>
      <c r="B386" s="38"/>
      <c r="C386" s="259"/>
      <c r="D386" s="260"/>
      <c r="E386" s="260"/>
      <c r="F386" s="260"/>
      <c r="G386" s="260"/>
      <c r="H386" s="260"/>
      <c r="I386" s="260"/>
    </row>
    <row r="387" spans="1:9" x14ac:dyDescent="0.25">
      <c r="A387" s="140"/>
      <c r="B387" s="38"/>
      <c r="C387" s="259"/>
      <c r="D387" s="260"/>
      <c r="E387" s="260"/>
      <c r="F387" s="260"/>
      <c r="G387" s="260"/>
      <c r="H387" s="260"/>
      <c r="I387" s="260"/>
    </row>
    <row r="388" spans="1:9" x14ac:dyDescent="0.25">
      <c r="A388" s="140"/>
      <c r="B388" s="38"/>
      <c r="C388" s="259"/>
      <c r="D388" s="260"/>
      <c r="E388" s="260"/>
      <c r="F388" s="260"/>
      <c r="G388" s="260"/>
      <c r="H388" s="260"/>
      <c r="I388" s="260"/>
    </row>
    <row r="389" spans="1:9" x14ac:dyDescent="0.25">
      <c r="A389" s="140"/>
      <c r="B389" s="38"/>
      <c r="C389" s="259"/>
      <c r="D389" s="260"/>
      <c r="E389" s="260"/>
      <c r="F389" s="260"/>
      <c r="G389" s="260"/>
      <c r="H389" s="260"/>
      <c r="I389" s="260"/>
    </row>
    <row r="390" spans="1:9" x14ac:dyDescent="0.25">
      <c r="A390" s="140"/>
      <c r="B390" s="38"/>
      <c r="C390" s="259"/>
      <c r="D390" s="260"/>
      <c r="E390" s="260"/>
      <c r="F390" s="260"/>
      <c r="G390" s="260"/>
      <c r="H390" s="260"/>
      <c r="I390" s="260"/>
    </row>
    <row r="391" spans="1:9" x14ac:dyDescent="0.25">
      <c r="A391" s="140"/>
      <c r="B391" s="38"/>
      <c r="C391" s="259"/>
      <c r="D391" s="260"/>
      <c r="E391" s="260"/>
      <c r="F391" s="260"/>
      <c r="G391" s="260"/>
      <c r="H391" s="260"/>
      <c r="I391" s="260"/>
    </row>
    <row r="392" spans="1:9" x14ac:dyDescent="0.25">
      <c r="A392" s="140"/>
      <c r="B392" s="38"/>
      <c r="C392" s="259"/>
      <c r="D392" s="260"/>
      <c r="E392" s="260"/>
      <c r="F392" s="260"/>
      <c r="G392" s="260"/>
      <c r="H392" s="260"/>
      <c r="I392" s="260"/>
    </row>
    <row r="393" spans="1:9" x14ac:dyDescent="0.25">
      <c r="A393" s="140"/>
      <c r="B393" s="38"/>
      <c r="C393" s="259"/>
      <c r="D393" s="260"/>
      <c r="E393" s="260"/>
      <c r="F393" s="260"/>
      <c r="G393" s="260"/>
      <c r="H393" s="260"/>
      <c r="I393" s="260"/>
    </row>
    <row r="394" spans="1:9" x14ac:dyDescent="0.25">
      <c r="A394" s="140"/>
      <c r="B394" s="38"/>
      <c r="C394" s="259"/>
      <c r="D394" s="260"/>
      <c r="E394" s="260"/>
      <c r="F394" s="260"/>
      <c r="G394" s="260"/>
      <c r="H394" s="260"/>
      <c r="I394" s="260"/>
    </row>
    <row r="395" spans="1:9" x14ac:dyDescent="0.25">
      <c r="A395" s="140"/>
      <c r="B395" s="38"/>
      <c r="C395" s="259"/>
      <c r="D395" s="260"/>
      <c r="E395" s="260"/>
      <c r="F395" s="260"/>
      <c r="G395" s="260"/>
      <c r="H395" s="260"/>
      <c r="I395" s="260"/>
    </row>
    <row r="396" spans="1:9" x14ac:dyDescent="0.25">
      <c r="A396" s="140"/>
      <c r="B396" s="38"/>
      <c r="C396" s="259"/>
      <c r="D396" s="260"/>
      <c r="E396" s="260"/>
      <c r="F396" s="260"/>
      <c r="G396" s="260"/>
      <c r="H396" s="260"/>
      <c r="I396" s="260"/>
    </row>
    <row r="397" spans="1:9" x14ac:dyDescent="0.25">
      <c r="A397" s="140"/>
      <c r="B397" s="38"/>
      <c r="C397" s="259"/>
      <c r="D397" s="260"/>
      <c r="E397" s="260"/>
      <c r="F397" s="260"/>
      <c r="G397" s="260"/>
      <c r="H397" s="260"/>
      <c r="I397" s="260"/>
    </row>
    <row r="398" spans="1:9" x14ac:dyDescent="0.25">
      <c r="A398" s="140"/>
      <c r="B398" s="38"/>
      <c r="C398" s="259"/>
      <c r="D398" s="260"/>
      <c r="E398" s="260"/>
      <c r="F398" s="260"/>
      <c r="G398" s="260"/>
      <c r="H398" s="260"/>
      <c r="I398" s="260"/>
    </row>
    <row r="399" spans="1:9" x14ac:dyDescent="0.25">
      <c r="A399" s="140"/>
      <c r="B399" s="38"/>
      <c r="C399" s="259"/>
      <c r="D399" s="260"/>
      <c r="E399" s="260"/>
      <c r="F399" s="260"/>
      <c r="G399" s="260"/>
      <c r="H399" s="260"/>
      <c r="I399" s="260"/>
    </row>
    <row r="400" spans="1:9" x14ac:dyDescent="0.25">
      <c r="A400" s="140"/>
      <c r="B400" s="38"/>
      <c r="C400" s="259"/>
      <c r="D400" s="260"/>
      <c r="E400" s="260"/>
      <c r="F400" s="260"/>
      <c r="G400" s="260"/>
      <c r="H400" s="260"/>
      <c r="I400" s="260"/>
    </row>
    <row r="401" spans="1:9" x14ac:dyDescent="0.25">
      <c r="A401" s="140"/>
      <c r="B401" s="38"/>
      <c r="C401" s="259"/>
      <c r="D401" s="260"/>
      <c r="E401" s="260"/>
      <c r="F401" s="260"/>
      <c r="G401" s="260"/>
      <c r="H401" s="260"/>
      <c r="I401" s="260"/>
    </row>
    <row r="402" spans="1:9" x14ac:dyDescent="0.25">
      <c r="A402" s="140"/>
      <c r="B402" s="38"/>
      <c r="C402" s="259"/>
      <c r="D402" s="260"/>
      <c r="E402" s="260"/>
      <c r="F402" s="260"/>
      <c r="G402" s="260"/>
      <c r="H402" s="260"/>
      <c r="I402" s="260"/>
    </row>
    <row r="403" spans="1:9" x14ac:dyDescent="0.25">
      <c r="A403" s="140"/>
      <c r="B403" s="38"/>
      <c r="C403" s="38"/>
      <c r="D403" s="38"/>
      <c r="E403" s="38"/>
      <c r="F403" s="38"/>
      <c r="G403" s="38"/>
      <c r="H403" s="38"/>
      <c r="I403" s="38"/>
    </row>
    <row r="404" spans="1:9" x14ac:dyDescent="0.25">
      <c r="B404" s="38"/>
      <c r="C404" s="38"/>
      <c r="D404" s="38"/>
      <c r="E404" s="38"/>
      <c r="F404" s="38"/>
      <c r="G404" s="38"/>
      <c r="H404" s="38"/>
      <c r="I404" s="38"/>
    </row>
    <row r="405" spans="1:9" x14ac:dyDescent="0.25">
      <c r="B405" s="38"/>
      <c r="C405" s="38"/>
      <c r="D405" s="38"/>
      <c r="E405" s="38"/>
      <c r="F405" s="38"/>
      <c r="G405" s="38"/>
      <c r="H405" s="38"/>
      <c r="I405" s="38"/>
    </row>
    <row r="406" spans="1:9" x14ac:dyDescent="0.25">
      <c r="B406" s="38"/>
      <c r="C406" s="38"/>
      <c r="D406" s="38"/>
      <c r="E406" s="38"/>
      <c r="F406" s="38"/>
      <c r="G406" s="38"/>
      <c r="H406" s="38"/>
      <c r="I406" s="38"/>
    </row>
    <row r="407" spans="1:9" x14ac:dyDescent="0.25">
      <c r="B407" s="38"/>
      <c r="C407" s="38"/>
      <c r="D407" s="38"/>
      <c r="E407" s="38"/>
      <c r="F407" s="38"/>
      <c r="G407" s="38"/>
      <c r="H407" s="38"/>
      <c r="I407" s="38"/>
    </row>
    <row r="408" spans="1:9" x14ac:dyDescent="0.25">
      <c r="B408" s="38"/>
      <c r="C408" s="38"/>
      <c r="D408" s="38"/>
      <c r="E408" s="38"/>
      <c r="F408" s="38"/>
      <c r="G408" s="38"/>
      <c r="H408" s="38"/>
      <c r="I408" s="38"/>
    </row>
    <row r="409" spans="1:9" x14ac:dyDescent="0.25">
      <c r="B409" s="38"/>
      <c r="C409" s="38"/>
      <c r="D409" s="38"/>
      <c r="E409" s="38"/>
      <c r="F409" s="38"/>
      <c r="G409" s="38"/>
      <c r="H409" s="38"/>
      <c r="I409" s="38"/>
    </row>
    <row r="410" spans="1:9" x14ac:dyDescent="0.25">
      <c r="B410" s="38"/>
      <c r="C410" s="38"/>
      <c r="D410" s="38"/>
      <c r="E410" s="38"/>
      <c r="F410" s="38"/>
      <c r="G410" s="38"/>
      <c r="H410" s="38"/>
      <c r="I410" s="38"/>
    </row>
    <row r="411" spans="1:9" x14ac:dyDescent="0.25">
      <c r="B411" s="38"/>
      <c r="C411" s="38"/>
      <c r="D411" s="38"/>
      <c r="E411" s="38"/>
      <c r="F411" s="38"/>
      <c r="G411" s="38"/>
      <c r="H411" s="38"/>
      <c r="I411" s="38"/>
    </row>
    <row r="412" spans="1:9" x14ac:dyDescent="0.25">
      <c r="B412" s="38"/>
      <c r="C412" s="38"/>
      <c r="D412" s="38"/>
      <c r="E412" s="38"/>
      <c r="F412" s="38"/>
      <c r="G412" s="38"/>
      <c r="H412" s="38"/>
      <c r="I412" s="38"/>
    </row>
    <row r="413" spans="1:9" x14ac:dyDescent="0.25">
      <c r="B413" s="38"/>
      <c r="C413" s="38"/>
      <c r="D413" s="38"/>
      <c r="E413" s="38"/>
      <c r="F413" s="38"/>
      <c r="G413" s="38"/>
      <c r="H413" s="38"/>
      <c r="I413" s="38"/>
    </row>
  </sheetData>
  <sheetProtection algorithmName="SHA-512" hashValue="vEaGV5gUaOGYPlvXmWBI9HipUEu05EIK774UkR+zEdU0/pfRyosDICaoBX7lbw91nfmVkqBzcHaYga3GJIrMcA==" saltValue="NnRc4FGlbBk7L7prY0XiyA==" spinCount="100000" sheet="1" objects="1" scenarios="1"/>
  <mergeCells count="16">
    <mergeCell ref="C164:I164"/>
    <mergeCell ref="B155:D155"/>
    <mergeCell ref="B157:D157"/>
    <mergeCell ref="B159:D159"/>
    <mergeCell ref="B130:D130"/>
    <mergeCell ref="B132:D132"/>
    <mergeCell ref="B143:D143"/>
    <mergeCell ref="B147:D147"/>
    <mergeCell ref="B149:D149"/>
    <mergeCell ref="B151:D151"/>
    <mergeCell ref="B139:D139"/>
    <mergeCell ref="B120:D120"/>
    <mergeCell ref="B122:D122"/>
    <mergeCell ref="B124:D124"/>
    <mergeCell ref="B128:D128"/>
    <mergeCell ref="B153:D153"/>
  </mergeCells>
  <conditionalFormatting sqref="A327:I335">
    <cfRule type="expression" dxfId="57" priority="72">
      <formula>$D$4="B.V."</formula>
    </cfRule>
  </conditionalFormatting>
  <conditionalFormatting sqref="C8">
    <cfRule type="expression" dxfId="55" priority="18">
      <formula>$D$4=""</formula>
    </cfRule>
  </conditionalFormatting>
  <conditionalFormatting sqref="C68 F68:H68">
    <cfRule type="expression" dxfId="54" priority="67">
      <formula>$D$4&lt;&gt;"B.V."</formula>
    </cfRule>
  </conditionalFormatting>
  <conditionalFormatting sqref="D6:E6">
    <cfRule type="expression" dxfId="52" priority="21">
      <formula>$C$6=""</formula>
    </cfRule>
  </conditionalFormatting>
  <conditionalFormatting sqref="D11:E11 C329:E334">
    <cfRule type="expression" dxfId="51" priority="71">
      <formula>$D$14=""</formula>
    </cfRule>
  </conditionalFormatting>
  <conditionalFormatting sqref="D15:E29 D32:E34 D39:E61 D64:E66 D72:E82">
    <cfRule type="expression" dxfId="50" priority="73">
      <formula>$D$14=""</formula>
    </cfRule>
  </conditionalFormatting>
  <conditionalFormatting sqref="D17:E17">
    <cfRule type="expression" dxfId="49" priority="29">
      <formula>$C$17=""</formula>
    </cfRule>
  </conditionalFormatting>
  <conditionalFormatting sqref="D21:E21">
    <cfRule type="expression" dxfId="48" priority="27">
      <formula>$C$21=""</formula>
    </cfRule>
  </conditionalFormatting>
  <conditionalFormatting sqref="D68:E68">
    <cfRule type="expression" dxfId="44" priority="43">
      <formula>$D$14=""</formula>
    </cfRule>
  </conditionalFormatting>
  <conditionalFormatting sqref="H10">
    <cfRule type="expression" dxfId="40" priority="20">
      <formula>$D$4=""</formula>
    </cfRule>
  </conditionalFormatting>
  <conditionalFormatting sqref="H11">
    <cfRule type="expression" dxfId="39" priority="19">
      <formula>$D$4=""</formula>
    </cfRule>
  </conditionalFormatting>
  <conditionalFormatting sqref="H17">
    <cfRule type="expression" dxfId="37" priority="28">
      <formula>$F$17=""</formula>
    </cfRule>
  </conditionalFormatting>
  <conditionalFormatting sqref="H21">
    <cfRule type="expression" dxfId="36" priority="26">
      <formula>$F$21=""</formula>
    </cfRule>
  </conditionalFormatting>
  <conditionalFormatting sqref="H122:H126">
    <cfRule type="expression" dxfId="30" priority="25">
      <formula>OR($H$120="",$H$120=0)</formula>
    </cfRule>
  </conditionalFormatting>
  <conditionalFormatting sqref="H130:H134">
    <cfRule type="expression" dxfId="29" priority="24">
      <formula>OR($H$128="""",$H$128=0)</formula>
    </cfRule>
  </conditionalFormatting>
  <conditionalFormatting sqref="H141">
    <cfRule type="expression" dxfId="28" priority="23">
      <formula>$F$141=""</formula>
    </cfRule>
  </conditionalFormatting>
  <conditionalFormatting sqref="H145">
    <cfRule type="expression" dxfId="27" priority="22">
      <formula>$F$145=""</formula>
    </cfRule>
  </conditionalFormatting>
  <conditionalFormatting sqref="I122">
    <cfRule type="cellIs" dxfId="25" priority="61" operator="equal">
      <formula>0</formula>
    </cfRule>
  </conditionalFormatting>
  <conditionalFormatting sqref="I126">
    <cfRule type="cellIs" dxfId="24" priority="60" operator="equal">
      <formula>0</formula>
    </cfRule>
  </conditionalFormatting>
  <conditionalFormatting sqref="I130">
    <cfRule type="cellIs" dxfId="23" priority="59" operator="equal">
      <formula>0</formula>
    </cfRule>
  </conditionalFormatting>
  <dataValidations count="18">
    <dataValidation type="list" allowBlank="1" showInputMessage="1" showErrorMessage="1" errorTitle="PAS UW ANTWOORD AAN" error="KLIK OP ANNULEREN EN SELECTEER UW ANTWOORD" sqref="H72 D72:E72 H162 D162 F162" xr:uid="{00000000-0002-0000-0200-000000000000}">
      <formula1>Ja_Nee</formula1>
    </dataValidation>
    <dataValidation type="list" allowBlank="1" showInputMessage="1" showErrorMessage="1" errorTitle="PAS UW ANTWOORD AAN" error="KLIK OP ANNULEREN EN SELECTEER UW ANTWOORD" sqref="H21 D21:E21" xr:uid="{00000000-0002-0000-0200-000001000000}">
      <formula1>Uitkering</formula1>
    </dataValidation>
    <dataValidation type="list" allowBlank="1" showInputMessage="1" showErrorMessage="1" errorTitle="PAS UW ANTWOORD AAN" error="KLIK OP ANNULEREN EN SELECTEER UW ANTWOORD" sqref="D87 D89 D91 D93 D95 D97 D103 D99 D101" xr:uid="{00000000-0002-0000-0200-000002000000}">
      <formula1>Inbreng</formula1>
    </dataValidation>
    <dataValidation type="list" allowBlank="1" showInputMessage="1" showErrorMessage="1" errorTitle="PAS UW ANTWOORD AAN" error="KLIK OP ANNULEREN EN SELECTEER UW ANTWOORD" sqref="H126 H134" xr:uid="{00000000-0002-0000-0200-000003000000}">
      <formula1>Graceperiod</formula1>
    </dataValidation>
    <dataValidation type="list" allowBlank="1" showInputMessage="1" showErrorMessage="1" errorTitle="PAS UW ANTWOORD AAN" error="KLIK OP ANNULEREN EN SELECTEER UW ANTWOORD" sqref="D249" xr:uid="{00000000-0002-0000-0200-000004000000}">
      <formula1>BTW</formula1>
    </dataValidation>
    <dataValidation type="list" allowBlank="1" showInputMessage="1" showErrorMessage="1" errorTitle="PAS UW ANTWOORD AAN" error="KLIK OP ANNULEREN EN SELECTEER UW ANTWOORD" sqref="D251" xr:uid="{00000000-0002-0000-0200-000005000000}">
      <formula1>Betalen</formula1>
    </dataValidation>
    <dataValidation type="list" allowBlank="1" showInputMessage="1" showErrorMessage="1" errorTitle="PAS UW ANTWOORD AAN" error="KLIK OP ANNULEREN  EN SELECTEER UW ANTWOORD" sqref="H25 D25:E25" xr:uid="{00000000-0002-0000-0200-000006000000}">
      <formula1>Ja_Nee</formula1>
    </dataValidation>
    <dataValidation type="decimal" allowBlank="1" showInputMessage="1" showErrorMessage="1" errorTitle="PAS UW ANTWOORD AAN" error="VOER EEN GETAL TUSSEN 0 EN 100 IN" sqref="H166 D166:E166" xr:uid="{00000000-0002-0000-0200-000007000000}">
      <formula1>0</formula1>
      <formula2>1</formula2>
    </dataValidation>
    <dataValidation type="list" allowBlank="1" showInputMessage="1" showErrorMessage="1" errorTitle="PAS UW ANTWOORD AAN" error="KLIK OP ANNULEREN  EN SELECTEER UW ANTWOORD" sqref="D4" xr:uid="{00000000-0002-0000-0200-000008000000}">
      <formula1>Rechtsvorm</formula1>
    </dataValidation>
    <dataValidation type="decimal" allowBlank="1" showInputMessage="1" showErrorMessage="1" sqref="D11:E11" xr:uid="{00000000-0002-0000-0200-000009000000}">
      <formula1>0</formula1>
      <formula2>1</formula2>
    </dataValidation>
    <dataValidation type="whole" operator="greaterThanOrEqual" allowBlank="1" showErrorMessage="1" errorTitle="Voer een bedrag in!" error="Voer een afgerond bedrag in." sqref="D15:E15 H15 D17:E17 H17 H19 D19:E19" xr:uid="{00000000-0002-0000-0200-00000A000000}">
      <formula1>0</formula1>
    </dataValidation>
    <dataValidation type="whole" operator="greaterThanOrEqual" allowBlank="1" showInputMessage="1" showErrorMessage="1" errorTitle="Voer een bedrag in!" error="Voer een afgerond bedrag in." sqref="D23:E23 H23 H27 D27:E27 D29:E29 H29" xr:uid="{00000000-0002-0000-0200-00000B000000}">
      <formula1>0</formula1>
    </dataValidation>
    <dataValidation type="whole" operator="greaterThanOrEqual" allowBlank="1" showInputMessage="1" showErrorMessage="1" errorTitle="Voer een bedrag in!" error="Veor een afgerond bedrag in." sqref="D76:E76 D39:E61 D68:E68 H68 D74:E74 H74 H76 H78 H80 H82 D82:E82 D80:E80 D78:E78 H39:H61" xr:uid="{00000000-0002-0000-0200-00000C000000}">
      <formula1>0</formula1>
    </dataValidation>
    <dataValidation type="list" allowBlank="1" showInputMessage="1" showErrorMessage="1" errorTitle="PAS UW ANTWOORD AAN" error="KLIK OP ANNULEREN  EN SELECTEER UW ANTWOORD" sqref="D6" xr:uid="{00000000-0002-0000-0200-00000E000000}">
      <formula1>Ondernemers</formula1>
    </dataValidation>
    <dataValidation allowBlank="1" showInputMessage="1" showErrorMessage="1" errorTitle="PAS UW ANTWOORD AAN" error="KLIK OP ANNULEREN EN SELECTEER UW ANTWOORD" sqref="G162 E162 E249 E251 E170 E168 E101 E99 E97 E95 E93 E91 E89 E87" xr:uid="{F5666EE4-001D-4E4E-A9F6-7307FC351659}"/>
    <dataValidation type="list" allowBlank="1" showInputMessage="1" showErrorMessage="1" sqref="F249 H249" xr:uid="{02FA5DBC-2A24-4879-A582-7881FF620F8C}">
      <formula1>BTW</formula1>
    </dataValidation>
    <dataValidation type="list" allowBlank="1" showInputMessage="1" showErrorMessage="1" sqref="F251 H251" xr:uid="{2E44729B-791C-49CF-BB75-447B518D014E}">
      <formula1>Betalen</formula1>
    </dataValidation>
    <dataValidation allowBlank="1" showInputMessage="1" showErrorMessage="1" errorTitle="PAS UW ANTWOORD AAN" error="KLIK OP ANNULEREN  EN SELECTEER UW ANTWOORD" sqref="E6 E4" xr:uid="{B69970FD-7929-47B0-A8B6-40892B05587B}"/>
  </dataValidations>
  <hyperlinks>
    <hyperlink ref="C327" location="'Uitleg aftrekposten'!A1" display="'Uitleg aftrekposten'!A1" xr:uid="{00000000-0004-0000-0200-000000000000}"/>
  </hyperlinks>
  <pageMargins left="0.25" right="0.25" top="0.75" bottom="0.75" header="0.3" footer="0.3"/>
  <pageSetup paperSize="9" scale="70" firstPageNumber="0" fitToHeight="0" orientation="portrait" r:id="rId1"/>
  <headerFooter alignWithMargins="0"/>
  <rowBreaks count="3" manualBreakCount="3">
    <brk id="61" max="6" man="1"/>
    <brk id="135" max="16383" man="1"/>
    <brk id="326" max="6" man="1"/>
  </rowBreaks>
  <drawing r:id="rId2"/>
  <extLst>
    <ext xmlns:x14="http://schemas.microsoft.com/office/spreadsheetml/2009/9/main" uri="{78C0D931-6437-407d-A8EE-F0AAD7539E65}">
      <x14:conditionalFormattings>
        <x14:conditionalFormatting xmlns:xm="http://schemas.microsoft.com/office/excel/2006/main">
          <x14:cfRule type="expression" priority="64" id="{00000000-000E-0000-0200-000012000000}">
            <xm:f>$D$4=dropdowns!$A$4</xm:f>
            <x14:dxf>
              <font>
                <color theme="0"/>
              </font>
              <fill>
                <patternFill>
                  <fgColor theme="0"/>
                </patternFill>
              </fill>
              <border>
                <left/>
                <right/>
                <top/>
                <bottom/>
                <vertical/>
                <horizontal/>
              </border>
            </x14:dxf>
          </x14:cfRule>
          <xm:sqref>B10:H11</xm:sqref>
        </x14:conditionalFormatting>
        <x14:conditionalFormatting xmlns:xm="http://schemas.microsoft.com/office/excel/2006/main">
          <x14:cfRule type="expression" priority="3" id="{1BB23767-FB69-4185-8CBC-483BBA5C343A}">
            <xm:f>OR($D$162="",$D$162=dropdowns!$B$25,$D$162=dropdowns!$C$25)</xm:f>
            <x14:dxf>
              <fill>
                <patternFill>
                  <fgColor theme="0"/>
                  <bgColor theme="0"/>
                </patternFill>
              </fill>
              <border>
                <left/>
                <right/>
                <top/>
                <bottom/>
                <vertical/>
                <horizontal/>
              </border>
            </x14:dxf>
          </x14:cfRule>
          <xm:sqref>D166:D170</xm:sqref>
        </x14:conditionalFormatting>
        <x14:conditionalFormatting xmlns:xm="http://schemas.microsoft.com/office/excel/2006/main">
          <x14:cfRule type="expression" priority="35" id="{EB6CA721-7709-4E4E-AFB6-E6D5D4EDF2F5}">
            <xm:f>OR(D25=dropdowns!$B$25,D25=dropdowns!$C$25,ISBLANK(D25))</xm:f>
            <x14:dxf>
              <fill>
                <patternFill>
                  <bgColor theme="0"/>
                </patternFill>
              </fill>
              <border>
                <left/>
                <right/>
                <top/>
                <bottom/>
                <vertical/>
                <horizontal/>
              </border>
            </x14:dxf>
          </x14:cfRule>
          <xm:sqref>D27:E27</xm:sqref>
        </x14:conditionalFormatting>
        <x14:conditionalFormatting xmlns:xm="http://schemas.microsoft.com/office/excel/2006/main">
          <x14:cfRule type="expression" priority="34" id="{3A442F23-B54B-4F18-8ED8-6401D8F5AAC2}">
            <xm:f>OR(D25=dropdowns!$B$25,D25=dropdowns!$C$25,ISBLANK(D25))</xm:f>
            <x14:dxf>
              <fill>
                <patternFill>
                  <bgColor theme="0"/>
                </patternFill>
              </fill>
              <border>
                <left/>
                <right/>
                <top/>
                <bottom/>
                <vertical/>
                <horizontal/>
              </border>
            </x14:dxf>
          </x14:cfRule>
          <xm:sqref>D29:E29</xm:sqref>
        </x14:conditionalFormatting>
        <x14:conditionalFormatting xmlns:xm="http://schemas.microsoft.com/office/excel/2006/main">
          <x14:cfRule type="expression" priority="42" id="{B17CFF0A-3C64-4E35-974C-453CA973BAE6}">
            <xm:f>$D$4&lt;&gt;dropdowns!$A$6</xm:f>
            <x14:dxf>
              <font>
                <color theme="0"/>
              </font>
              <fill>
                <patternFill>
                  <bgColor theme="0"/>
                </patternFill>
              </fill>
              <border>
                <left/>
                <right/>
                <top/>
                <bottom/>
              </border>
            </x14:dxf>
          </x14:cfRule>
          <xm:sqref>D68:E68</xm:sqref>
        </x14:conditionalFormatting>
        <x14:conditionalFormatting xmlns:xm="http://schemas.microsoft.com/office/excel/2006/main">
          <x14:cfRule type="expression" priority="33" id="{AA9AD7DC-C16B-413C-A249-4DA6C007B5B3}">
            <xm:f>OR(D72=dropdowns!$B$25,D72=dropdowns!$C$25,ISBLANK(D72))</xm:f>
            <x14:dxf>
              <fill>
                <patternFill>
                  <bgColor theme="0"/>
                </patternFill>
              </fill>
              <border>
                <left/>
                <right/>
                <top/>
                <bottom/>
              </border>
            </x14:dxf>
          </x14:cfRule>
          <xm:sqref>D74:E74</xm:sqref>
        </x14:conditionalFormatting>
        <x14:conditionalFormatting xmlns:xm="http://schemas.microsoft.com/office/excel/2006/main">
          <x14:cfRule type="expression" priority="32" id="{6C9AF1DB-9CF7-404E-96A7-86398EFA6F72}">
            <xm:f>OR(D72=dropdowns!$B$25,D72=dropdowns!$C$25,ISBLANK(D72))</xm:f>
            <x14:dxf>
              <fill>
                <patternFill>
                  <bgColor theme="0"/>
                </patternFill>
              </fill>
              <border>
                <left/>
                <right/>
                <top/>
                <bottom/>
              </border>
            </x14:dxf>
          </x14:cfRule>
          <xm:sqref>D76:E76</xm:sqref>
        </x14:conditionalFormatting>
        <x14:conditionalFormatting xmlns:xm="http://schemas.microsoft.com/office/excel/2006/main">
          <x14:cfRule type="expression" priority="2" id="{0D554DC4-2E3D-49C3-BF06-5DAEFEB24CFA}">
            <xm:f>OR($F$162="",$F$162=dropdowns!$B$25,$F$162=dropdowns!$C$25)</xm:f>
            <x14:dxf>
              <fill>
                <patternFill>
                  <fgColor theme="0"/>
                  <bgColor theme="0"/>
                </patternFill>
              </fill>
              <border>
                <left/>
                <right/>
                <top/>
                <bottom/>
                <vertical/>
                <horizontal/>
              </border>
            </x14:dxf>
          </x14:cfRule>
          <xm:sqref>F166:F170</xm:sqref>
        </x14:conditionalFormatting>
        <x14:conditionalFormatting xmlns:xm="http://schemas.microsoft.com/office/excel/2006/main">
          <x14:cfRule type="expression" priority="46" id="{C65BFE45-772E-4798-B5F8-054BB6771D10}">
            <xm:f>$D$4=dropdowns!$A$4</xm:f>
            <x14:dxf>
              <font>
                <color theme="0"/>
              </font>
              <fill>
                <patternFill patternType="solid">
                  <bgColor theme="0"/>
                </patternFill>
              </fill>
            </x14:dxf>
          </x14:cfRule>
          <xm:sqref>H11</xm:sqref>
        </x14:conditionalFormatting>
        <x14:conditionalFormatting xmlns:xm="http://schemas.microsoft.com/office/excel/2006/main">
          <x14:cfRule type="expression" priority="37" id="{867DBD50-14D6-4902-BFCA-300DA75F7D80}">
            <xm:f>OR(H25=dropdowns!$B$25,H25=dropdowns!$C$25,ISBLANK(H25))</xm:f>
            <x14:dxf>
              <fill>
                <patternFill>
                  <bgColor theme="0"/>
                </patternFill>
              </fill>
              <border>
                <left/>
                <right/>
                <top/>
                <bottom/>
                <vertical/>
                <horizontal/>
              </border>
            </x14:dxf>
          </x14:cfRule>
          <xm:sqref>H27</xm:sqref>
        </x14:conditionalFormatting>
        <x14:conditionalFormatting xmlns:xm="http://schemas.microsoft.com/office/excel/2006/main">
          <x14:cfRule type="expression" priority="36" id="{95B9252E-064D-4AF9-B819-C4C9699D7D24}">
            <xm:f>OR(H25=dropdowns!$B$25,H25=dropdowns!$C$25,ISBLANK(H25))</xm:f>
            <x14:dxf>
              <fill>
                <patternFill>
                  <bgColor theme="0"/>
                </patternFill>
              </fill>
              <border>
                <left/>
                <right/>
                <top/>
                <bottom/>
                <vertical/>
                <horizontal/>
              </border>
            </x14:dxf>
          </x14:cfRule>
          <xm:sqref>H29</xm:sqref>
        </x14:conditionalFormatting>
        <x14:conditionalFormatting xmlns:xm="http://schemas.microsoft.com/office/excel/2006/main">
          <x14:cfRule type="expression" priority="45" id="{7A0D5DFB-47C0-4B68-961C-384DBC135DCC}">
            <xm:f>$D$4&lt;&gt;dropdowns!C$6</xm:f>
            <x14:dxf>
              <font>
                <color theme="0"/>
              </font>
              <fill>
                <patternFill patternType="none">
                  <bgColor auto="1"/>
                </patternFill>
              </fill>
            </x14:dxf>
          </x14:cfRule>
          <xm:sqref>H68</xm:sqref>
        </x14:conditionalFormatting>
        <x14:conditionalFormatting xmlns:xm="http://schemas.microsoft.com/office/excel/2006/main">
          <x14:cfRule type="expression" priority="31" id="{0CF24FBF-1F85-4C8E-A770-C1F639F40072}">
            <xm:f>OR(H72=dropdowns!$B$25,H72=dropdowns!$C$25,ISBLANK(H72))</xm:f>
            <x14:dxf>
              <fill>
                <patternFill>
                  <bgColor theme="0"/>
                </patternFill>
              </fill>
              <border>
                <left/>
                <right/>
                <top/>
                <bottom/>
              </border>
            </x14:dxf>
          </x14:cfRule>
          <xm:sqref>H74</xm:sqref>
        </x14:conditionalFormatting>
        <x14:conditionalFormatting xmlns:xm="http://schemas.microsoft.com/office/excel/2006/main">
          <x14:cfRule type="expression" priority="30" id="{B0A4651C-3685-43A1-9FF6-B61650109BD7}">
            <xm:f>OR(H72=dropdowns!$B$25,H72=dropdowns!$C$25,ISBLANK(H72))</xm:f>
            <x14:dxf>
              <fill>
                <patternFill>
                  <bgColor theme="0"/>
                </patternFill>
              </fill>
              <border>
                <left/>
                <right/>
                <top/>
                <bottom/>
                <vertical/>
                <horizontal/>
              </border>
            </x14:dxf>
          </x14:cfRule>
          <xm:sqref>H76</xm:sqref>
        </x14:conditionalFormatting>
        <x14:conditionalFormatting xmlns:xm="http://schemas.microsoft.com/office/excel/2006/main">
          <x14:cfRule type="expression" priority="1" id="{7B6C6A71-B2CD-4E1F-BB6E-AA9F1362FFE3}">
            <xm:f>OR($H$162="",$H$162=dropdowns!$B$25,$H$162=dropdowns!$C$25)</xm:f>
            <x14:dxf>
              <fill>
                <patternFill patternType="solid">
                  <bgColor theme="0"/>
                </patternFill>
              </fill>
              <border>
                <left/>
                <right/>
                <top/>
                <bottom/>
                <vertical/>
                <horizontal/>
              </border>
            </x14:dxf>
          </x14:cfRule>
          <xm:sqref>H166:H170</xm:sqref>
        </x14:conditionalFormatting>
      </x14:conditionalFormattings>
    </ext>
    <ext xmlns:x14="http://schemas.microsoft.com/office/spreadsheetml/2009/9/main" uri="{CCE6A557-97BC-4b89-ADB6-D9C93CAAB3DF}">
      <x14:dataValidations xmlns:xm="http://schemas.microsoft.com/office/excel/2006/main" count="11">
        <x14:dataValidation type="list" allowBlank="1" showInputMessage="1" showErrorMessage="1" errorTitle="PAS UW ANTWOORD AAN" error="KLIK OP ANNULEREN EN SELECTEER UW ANTWOORD" xr:uid="{05E5F014-34CC-4813-8F27-BB50CD0DBF3C}">
          <x14:formula1>
            <xm:f>IF($D$4=dropdowns!$A$6,"",Ja_Nee)</xm:f>
          </x14:formula1>
          <xm:sqref>H329 H331</xm:sqref>
        </x14:dataValidation>
        <x14:dataValidation type="list" allowBlank="1" showInputMessage="1" showErrorMessage="1" errorTitle="PAS UW ANTWOORD AAN" error="KLIK OP ANNULEREN EN SELECTEER UW ANTWOORD" xr:uid="{5BF8C8A3-E216-4D37-B6A7-E0D0B64F0507}">
          <x14:formula1>
            <xm:f>IF($D$4=dropdowns!$A$6,"",Meewerkaftrek)</xm:f>
          </x14:formula1>
          <xm:sqref>H333</xm:sqref>
        </x14:dataValidation>
        <x14:dataValidation type="list" allowBlank="1" showInputMessage="1" showErrorMessage="1" errorTitle="PAS UW ANTWOORD AAN" error="KLIK OP ANNULEREN EN SELECTEER UW ANTWOORD" xr:uid="{00000000-0002-0000-0200-00000D000000}">
          <x14:formula1>
            <xm:f>IF($D$4=dropdowns!$A$109,dropdowns!$F$71,Meewerkaftrek)</xm:f>
          </x14:formula1>
          <xm:sqref>D333:E333</xm:sqref>
        </x14:dataValidation>
        <x14:dataValidation type="list" allowBlank="1" showInputMessage="1" showErrorMessage="1" errorTitle="PAS UW ANTWOORD AAN" error="KLIK OP ANNULEREN EN SELECTEER UW ANTWOORD" xr:uid="{00000000-0002-0000-0200-00000F000000}">
          <x14:formula1>
            <xm:f>IF($D$4=dropdowns!$A$109,dropdowns!$F$71,Ja_Nee)</xm:f>
          </x14:formula1>
          <xm:sqref>D329:E329 D331:E331</xm:sqref>
        </x14:dataValidation>
        <x14:dataValidation type="list" allowBlank="1" showInputMessage="1" showErrorMessage="1" errorTitle="PAS UW ANTWOORD AAN" error="KLIK OP ANNULEREN EN SELECTEER UW ANTWOORD" xr:uid="{FCD76595-B296-43D3-895D-64B671DD2F09}">
          <x14:formula1>
            <xm:f>IF(OR($D$162=dropdowns!$B$25,$D$162=dropdowns!$C$25),"",BTW)</xm:f>
          </x14:formula1>
          <xm:sqref>D168</xm:sqref>
        </x14:dataValidation>
        <x14:dataValidation type="list" allowBlank="1" showInputMessage="1" showErrorMessage="1" errorTitle="PAS UW ANTWOORD AAN" error="KLIK OP ANNULEREN EN SELECTEER UW ANTWOORD" xr:uid="{A716AC57-672E-4271-97CD-D1B4DB7D11E1}">
          <x14:formula1>
            <xm:f>IF(OR($D$162=dropdowns!$B$25,$D$162=dropdowns!$C$25),"",Betalen)</xm:f>
          </x14:formula1>
          <xm:sqref>D170</xm:sqref>
        </x14:dataValidation>
        <x14:dataValidation type="list" allowBlank="1" showInputMessage="1" showErrorMessage="1" errorTitle="PAS UW ANTWOORD AAN" error="KLIK OP ANNULEREN EN SELECTEER UW ANTWOORD" xr:uid="{331D151F-EFF9-41F5-834E-A57E6ED36279}">
          <x14:formula1>
            <xm:f>IF(OR($H$162=dropdowns!$B$25,$H$162=dropdowns!$C$25),"",BTW)</xm:f>
          </x14:formula1>
          <xm:sqref>H168</xm:sqref>
        </x14:dataValidation>
        <x14:dataValidation type="list" allowBlank="1" showInputMessage="1" showErrorMessage="1" errorTitle="PAS UW ANTWOORD AAN" error="KLIK OP ANNULEREN EN SELECTEER UW ANTWOORD" xr:uid="{39495C16-886F-4067-A29C-034272FDC7F5}">
          <x14:formula1>
            <xm:f>IF(OR($H$162=dropdowns!$B$25,$H$162=dropdowns!$C$25),"",Betalen)</xm:f>
          </x14:formula1>
          <xm:sqref>H170</xm:sqref>
        </x14:dataValidation>
        <x14:dataValidation type="list" allowBlank="1" showInputMessage="1" showErrorMessage="1" xr:uid="{AB42C68D-F652-4AD8-AF91-593A36946D42}">
          <x14:formula1>
            <xm:f>IF(OR($F$162=dropdowns!$B$25,$F$162=dropdowns!$C$25),"",BTW)</xm:f>
          </x14:formula1>
          <xm:sqref>F168</xm:sqref>
        </x14:dataValidation>
        <x14:dataValidation type="list" allowBlank="1" showInputMessage="1" showErrorMessage="1" xr:uid="{9350B7D0-2AEF-43C4-B08A-354D1F9FB321}">
          <x14:formula1>
            <xm:f>IF(OR($F$162=dropdowns!$B$25,$F$162=dropdowns!$C$25),"",Betalen)</xm:f>
          </x14:formula1>
          <xm:sqref>F170</xm:sqref>
        </x14:dataValidation>
        <x14:dataValidation type="list" allowBlank="1" showInputMessage="1" showErrorMessage="1" errorTitle="PAS UW ANTWOORD AAN" error="KLIK OP ANNULEREN EN SELECTEER UW ANTWOORD" xr:uid="{6DE12A26-BF37-4FF1-A927-AE24564C2487}">
          <x14:formula1>
            <xm:f>dropdowns!$A$32:$A$67</xm:f>
          </x14:formula1>
          <xm:sqref>H141 H145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45BFA-644E-4308-BE0F-30EAD83A730D}">
  <sheetPr>
    <tabColor rgb="FF232572"/>
  </sheetPr>
  <dimension ref="A1:K51"/>
  <sheetViews>
    <sheetView workbookViewId="0">
      <selection activeCell="C34" sqref="C34"/>
    </sheetView>
  </sheetViews>
  <sheetFormatPr defaultColWidth="64.140625" defaultRowHeight="14.25" x14ac:dyDescent="0.2"/>
  <cols>
    <col min="1" max="1" width="3.5703125" style="442" customWidth="1"/>
    <col min="2" max="2" width="60.28515625" style="442" bestFit="1" customWidth="1"/>
    <col min="3" max="3" width="3.85546875" style="442" customWidth="1"/>
    <col min="4" max="5" width="15.85546875" style="442" customWidth="1"/>
    <col min="6" max="6" width="3.85546875" style="442" customWidth="1"/>
    <col min="7" max="9" width="15.85546875" style="442" customWidth="1"/>
    <col min="10" max="10" width="3.5703125" style="442" customWidth="1"/>
    <col min="11" max="11" width="21.85546875" style="442" customWidth="1"/>
    <col min="12" max="12" width="9.140625" style="442" customWidth="1"/>
    <col min="13" max="13" width="11.85546875" style="442" customWidth="1"/>
    <col min="14" max="256" width="9.140625" style="442" customWidth="1"/>
    <col min="257" max="257" width="3.140625" style="442" customWidth="1"/>
    <col min="258" max="16384" width="64.140625" style="442"/>
  </cols>
  <sheetData>
    <row r="1" spans="2:11" ht="37.5" x14ac:dyDescent="0.2">
      <c r="B1" s="476" t="str">
        <f>Vertaling!A181</f>
        <v>Privébegroting</v>
      </c>
      <c r="C1" s="476"/>
      <c r="D1" s="476"/>
      <c r="E1" s="440"/>
      <c r="F1" s="440"/>
      <c r="G1" s="440"/>
      <c r="H1" s="440"/>
      <c r="I1" s="441"/>
    </row>
    <row r="2" spans="2:11" ht="15" x14ac:dyDescent="0.25">
      <c r="B2" s="443"/>
      <c r="C2" s="443"/>
      <c r="D2" s="477" t="str">
        <f>IF(VRAGENLIJST!D6=dropdowns!A9,VRAGENLIJST!H10,VRAGENLIJST!D10)</f>
        <v/>
      </c>
      <c r="E2" s="477"/>
      <c r="F2" s="443"/>
      <c r="G2" s="477" t="str">
        <f>IF(VRAGENLIJST!D6&lt;&gt;dropdowns!A9,VRAGENLIJST!H10,VRAGENLIJST!D10)</f>
        <v>Ondernemer:</v>
      </c>
      <c r="H2" s="477"/>
      <c r="I2" s="441"/>
      <c r="K2" s="444"/>
    </row>
    <row r="3" spans="2:11" ht="15" x14ac:dyDescent="0.25">
      <c r="B3" s="445" t="str">
        <f>Vertaling!A183</f>
        <v>Uitgaven</v>
      </c>
      <c r="C3" s="446"/>
      <c r="D3" s="445" t="str">
        <f>Vertaling!A212</f>
        <v>Per maand</v>
      </c>
      <c r="E3" s="445" t="str">
        <f>Vertaling!A213</f>
        <v>Per jaar</v>
      </c>
      <c r="F3" s="446"/>
      <c r="G3" s="445" t="str">
        <f>Vertaling!A212</f>
        <v>Per maand</v>
      </c>
      <c r="H3" s="445" t="str">
        <f>Vertaling!A213</f>
        <v>Per jaar</v>
      </c>
      <c r="I3" s="447"/>
    </row>
    <row r="4" spans="2:11" x14ac:dyDescent="0.2">
      <c r="B4" s="448" t="str">
        <f>Vertaling!A184</f>
        <v>Huur/aflossing woning</v>
      </c>
      <c r="C4" s="266"/>
      <c r="D4" s="449">
        <f>IF(OR(VRAGENLIJST!D6=dropdowns!A9,VRAGENLIJST!D6=""),VRAGENLIJST!H41+VRAGENLIJST!H39,VRAGENLIJST!D39+VRAGENLIJST!D41)</f>
        <v>0</v>
      </c>
      <c r="E4" s="449">
        <f>D4*12</f>
        <v>0</v>
      </c>
      <c r="F4" s="266"/>
      <c r="G4" s="449">
        <f>IF(VRAGENLIJST!D6&lt;&gt;dropdowns!A9,VRAGENLIJST!H41+VRAGENLIJST!H39,VRAGENLIJST!D39+VRAGENLIJST!D41)</f>
        <v>0</v>
      </c>
      <c r="H4" s="449">
        <f>G4*12</f>
        <v>0</v>
      </c>
      <c r="I4" s="450"/>
    </row>
    <row r="5" spans="2:11" ht="15" x14ac:dyDescent="0.25">
      <c r="B5" s="448" t="str">
        <f>Vertaling!A185</f>
        <v>Gas, water en elektriciteit</v>
      </c>
      <c r="C5" s="266"/>
      <c r="D5" s="449">
        <f>IF(OR(VRAGENLIJST!$D$6=dropdowns!$A$9,VRAGENLIJST!$D$6=""),VRAGENLIJST!H43,VRAGENLIJST!D43)</f>
        <v>0</v>
      </c>
      <c r="E5" s="449">
        <f t="shared" ref="E5:E13" si="0">D5*12</f>
        <v>0</v>
      </c>
      <c r="F5" s="266"/>
      <c r="G5" s="449">
        <f>IF(VRAGENLIJST!D6&lt;&gt;dropdowns!A9,VRAGENLIJST!H43,VRAGENLIJST!D43)</f>
        <v>0</v>
      </c>
      <c r="H5" s="449">
        <f t="shared" ref="H5:H13" si="1">G5*12</f>
        <v>0</v>
      </c>
      <c r="I5" s="451"/>
    </row>
    <row r="6" spans="2:11" ht="15" x14ac:dyDescent="0.25">
      <c r="B6" s="448" t="str">
        <f>Vertaling!A186</f>
        <v>Duurzame consumptiegoederen</v>
      </c>
      <c r="C6" s="266"/>
      <c r="D6" s="449">
        <f>IF(OR(VRAGENLIJST!$D$6=dropdowns!$A$9,VRAGENLIJST!$D$6=""),VRAGENLIJST!H45,VRAGENLIJST!D45)</f>
        <v>0</v>
      </c>
      <c r="E6" s="449">
        <f t="shared" si="0"/>
        <v>0</v>
      </c>
      <c r="F6" s="266"/>
      <c r="G6" s="449">
        <f>IF(VRAGENLIJST!D6&lt;&gt;dropdowns!A9,VRAGENLIJST!H45,VRAGENLIJST!D45)</f>
        <v>0</v>
      </c>
      <c r="H6" s="449">
        <f t="shared" si="1"/>
        <v>0</v>
      </c>
      <c r="I6" s="452"/>
    </row>
    <row r="7" spans="2:11" x14ac:dyDescent="0.2">
      <c r="B7" s="448" t="str">
        <f>Vertaling!A187</f>
        <v>Ziektekostenverzekering</v>
      </c>
      <c r="C7" s="266"/>
      <c r="D7" s="449">
        <f>IF(OR(VRAGENLIJST!$D$6=dropdowns!$A$9,VRAGENLIJST!$D$6=""),VRAGENLIJST!H47,VRAGENLIJST!D47)</f>
        <v>0</v>
      </c>
      <c r="E7" s="449">
        <f t="shared" si="0"/>
        <v>0</v>
      </c>
      <c r="F7" s="266"/>
      <c r="G7" s="449">
        <f>IF(VRAGENLIJST!D6&lt;&gt;dropdowns!A9,VRAGENLIJST!H47,VRAGENLIJST!D47)</f>
        <v>0</v>
      </c>
      <c r="H7" s="449">
        <f t="shared" si="1"/>
        <v>0</v>
      </c>
      <c r="I7" s="450"/>
    </row>
    <row r="8" spans="2:11" x14ac:dyDescent="0.2">
      <c r="B8" s="448" t="str">
        <f>Vertaling!A188</f>
        <v>Overige verzekeringen (inboedel, WA, e.d.)</v>
      </c>
      <c r="C8" s="266"/>
      <c r="D8" s="449">
        <f>IF(OR(VRAGENLIJST!$D$6=dropdowns!$A$9,VRAGENLIJST!$D$6=""),VRAGENLIJST!H49,VRAGENLIJST!D49)</f>
        <v>0</v>
      </c>
      <c r="E8" s="449">
        <f t="shared" si="0"/>
        <v>0</v>
      </c>
      <c r="F8" s="266"/>
      <c r="G8" s="449">
        <f>IF(VRAGENLIJST!D6&lt;&gt;dropdowns!A9,VRAGENLIJST!H49,VRAGENLIJST!D49)</f>
        <v>0</v>
      </c>
      <c r="H8" s="449">
        <f t="shared" si="1"/>
        <v>0</v>
      </c>
      <c r="I8" s="450"/>
    </row>
    <row r="9" spans="2:11" ht="15" x14ac:dyDescent="0.25">
      <c r="B9" s="448" t="str">
        <f>Vertaling!A189</f>
        <v>Vervoer (brandstof, onderhoud, abonnement)</v>
      </c>
      <c r="C9" s="266"/>
      <c r="D9" s="449">
        <f>IF(OR(VRAGENLIJST!$D$6=dropdowns!$A$9,VRAGENLIJST!$D$6=""),VRAGENLIJST!H51,VRAGENLIJST!D51)</f>
        <v>0</v>
      </c>
      <c r="E9" s="449">
        <f t="shared" si="0"/>
        <v>0</v>
      </c>
      <c r="F9" s="266"/>
      <c r="G9" s="449">
        <f>IF(VRAGENLIJST!D6&lt;&gt;dropdowns!A9,VRAGENLIJST!H51,VRAGENLIJST!D51)</f>
        <v>0</v>
      </c>
      <c r="H9" s="449">
        <f t="shared" si="1"/>
        <v>0</v>
      </c>
      <c r="I9" s="452"/>
    </row>
    <row r="10" spans="2:11" ht="15" x14ac:dyDescent="0.25">
      <c r="B10" s="448" t="str">
        <f>Vertaling!A190</f>
        <v>Huishoudelijke uitgaven (voeding, kleding, sport)</v>
      </c>
      <c r="C10" s="266"/>
      <c r="D10" s="449">
        <f>IF(OR(VRAGENLIJST!$D$6=dropdowns!$A$9,VRAGENLIJST!$D$6=""),VRAGENLIJST!H53,VRAGENLIJST!D53)</f>
        <v>0</v>
      </c>
      <c r="E10" s="449">
        <f t="shared" si="0"/>
        <v>0</v>
      </c>
      <c r="F10" s="266"/>
      <c r="G10" s="449">
        <f>IF(VRAGENLIJST!D6&lt;&gt;dropdowns!A9,VRAGENLIJST!H53,VRAGENLIJST!D53)</f>
        <v>0</v>
      </c>
      <c r="H10" s="449">
        <f t="shared" si="1"/>
        <v>0</v>
      </c>
      <c r="I10" s="451"/>
    </row>
    <row r="11" spans="2:11" x14ac:dyDescent="0.2">
      <c r="B11" s="448" t="str">
        <f>Vertaling!A191</f>
        <v>Vakantie en recreatie</v>
      </c>
      <c r="C11" s="266"/>
      <c r="D11" s="449">
        <f>IF(OR(VRAGENLIJST!$D$6=dropdowns!$A$9,VRAGENLIJST!$D$6=""),VRAGENLIJST!H55,VRAGENLIJST!D55)</f>
        <v>0</v>
      </c>
      <c r="E11" s="449">
        <f t="shared" si="0"/>
        <v>0</v>
      </c>
      <c r="F11" s="266"/>
      <c r="G11" s="449">
        <f>IF(VRAGENLIJST!D6&lt;&gt;dropdowns!A9,VRAGENLIJST!H55,VRAGENLIJST!D55)</f>
        <v>0</v>
      </c>
      <c r="H11" s="449">
        <f t="shared" si="1"/>
        <v>0</v>
      </c>
      <c r="I11" s="453"/>
    </row>
    <row r="12" spans="2:11" x14ac:dyDescent="0.2">
      <c r="B12" s="448" t="str">
        <f>Vertaling!A192</f>
        <v>Opleiding, studiekosten en opvang kinderen</v>
      </c>
      <c r="C12" s="266"/>
      <c r="D12" s="449">
        <f>IF(OR(VRAGENLIJST!$D$6=dropdowns!$A$9,VRAGENLIJST!$D$6=""),VRAGENLIJST!H57,VRAGENLIJST!D57)</f>
        <v>0</v>
      </c>
      <c r="E12" s="449">
        <f t="shared" si="0"/>
        <v>0</v>
      </c>
      <c r="F12" s="266"/>
      <c r="G12" s="449">
        <f>IF(VRAGENLIJST!D6&lt;&gt;dropdowns!A9,VRAGENLIJST!H57,VRAGENLIJST!D57)</f>
        <v>0</v>
      </c>
      <c r="H12" s="449">
        <f t="shared" si="1"/>
        <v>0</v>
      </c>
      <c r="I12" s="453"/>
    </row>
    <row r="13" spans="2:11" x14ac:dyDescent="0.2">
      <c r="B13" s="448" t="str">
        <f>Vertaling!A193</f>
        <v>Aflossing en rente privélening (geen hypotheek)</v>
      </c>
      <c r="C13" s="266"/>
      <c r="D13" s="449">
        <f>IF(OR(VRAGENLIJST!$D$6=dropdowns!$A$9,VRAGENLIJST!$D$6=""),VRAGENLIJST!H59,VRAGENLIJST!D59)</f>
        <v>0</v>
      </c>
      <c r="E13" s="449">
        <f t="shared" si="0"/>
        <v>0</v>
      </c>
      <c r="F13" s="266"/>
      <c r="G13" s="449">
        <f>IF(VRAGENLIJST!D6&lt;&gt;dropdowns!A9,VRAGENLIJST!H59,VRAGENLIJST!D59)</f>
        <v>0</v>
      </c>
      <c r="H13" s="449">
        <f t="shared" si="1"/>
        <v>0</v>
      </c>
      <c r="I13" s="453"/>
    </row>
    <row r="14" spans="2:11" ht="15" thickBot="1" x14ac:dyDescent="0.25">
      <c r="B14" s="454" t="str">
        <f>Vertaling!A194</f>
        <v>Overige uitgaven</v>
      </c>
      <c r="C14" s="266"/>
      <c r="D14" s="455">
        <f>IF(OR(VRAGENLIJST!$D$6=dropdowns!$A$9,VRAGENLIJST!$D$6=""),VRAGENLIJST!H61,VRAGENLIJST!D61)</f>
        <v>0</v>
      </c>
      <c r="E14" s="455">
        <f>D14*12</f>
        <v>0</v>
      </c>
      <c r="F14" s="266"/>
      <c r="G14" s="455">
        <f>IF(VRAGENLIJST!D6&lt;&gt;dropdowns!A9,VRAGENLIJST!H61,VRAGENLIJST!D61)</f>
        <v>0</v>
      </c>
      <c r="H14" s="455">
        <f>G14*12</f>
        <v>0</v>
      </c>
      <c r="I14" s="453"/>
    </row>
    <row r="15" spans="2:11" x14ac:dyDescent="0.2">
      <c r="B15" s="456" t="str">
        <f>Vertaling!A195</f>
        <v>Totaal uitgaven</v>
      </c>
      <c r="C15" s="273"/>
      <c r="D15" s="457">
        <f>SUM(D4:D14)</f>
        <v>0</v>
      </c>
      <c r="E15" s="457">
        <f>SUM(E4:E14)</f>
        <v>0</v>
      </c>
      <c r="F15" s="273"/>
      <c r="G15" s="457">
        <f>SUM(G4:G14)</f>
        <v>0</v>
      </c>
      <c r="H15" s="457">
        <f>SUM(H4:H14)</f>
        <v>0</v>
      </c>
      <c r="I15" s="453"/>
    </row>
    <row r="16" spans="2:11" x14ac:dyDescent="0.2">
      <c r="B16" s="342"/>
      <c r="C16" s="342"/>
      <c r="D16" s="458"/>
      <c r="E16" s="458"/>
      <c r="F16" s="342"/>
      <c r="G16" s="458"/>
      <c r="H16" s="458"/>
      <c r="I16" s="453"/>
    </row>
    <row r="17" spans="1:9" x14ac:dyDescent="0.2">
      <c r="B17" s="445" t="str">
        <f>Vertaling!A196</f>
        <v>Ontvangsten</v>
      </c>
      <c r="C17" s="446"/>
      <c r="D17" s="459"/>
      <c r="E17" s="459"/>
      <c r="F17" s="446"/>
      <c r="G17" s="459"/>
      <c r="H17" s="459"/>
      <c r="I17" s="453"/>
    </row>
    <row r="18" spans="1:9" x14ac:dyDescent="0.2">
      <c r="B18" s="448" t="str">
        <f>Vertaling!A197</f>
        <v>Salaris</v>
      </c>
      <c r="C18" s="266"/>
      <c r="D18" s="457">
        <f>IF(OR(VRAGENLIJST!$D$6=dropdowns!$A$9,VRAGENLIJST!$D$6=""),VRAGENLIJST!H17,VRAGENLIJST!D17)</f>
        <v>0</v>
      </c>
      <c r="E18" s="457">
        <f>D18*12</f>
        <v>0</v>
      </c>
      <c r="F18" s="266"/>
      <c r="G18" s="457">
        <f>IF(VRAGENLIJST!D6&lt;&gt;dropdowns!A9,VRAGENLIJST!H17,VRAGENLIJST!D17)</f>
        <v>0</v>
      </c>
      <c r="H18" s="457">
        <f>G18*12</f>
        <v>0</v>
      </c>
      <c r="I18" s="453"/>
    </row>
    <row r="19" spans="1:9" x14ac:dyDescent="0.2">
      <c r="B19" s="448" t="str">
        <f>Vertaling!A198</f>
        <v>Uitkering</v>
      </c>
      <c r="C19" s="266"/>
      <c r="D19" s="457">
        <f>IF(OR(VRAGENLIJST!$D$6=dropdowns!$A$9,VRAGENLIJST!$D$6=""),IF(VRAGENLIJST!H21=dropdowns!A14,VRAGENLIJST!H19,0),IF(VRAGENLIJST!D21=dropdowns!A14,VRAGENLIJST!D19,0))</f>
        <v>0</v>
      </c>
      <c r="E19" s="457">
        <f t="shared" ref="E19:E20" si="2">D19*12</f>
        <v>0</v>
      </c>
      <c r="F19" s="266"/>
      <c r="G19" s="449">
        <f>IF(VRAGENLIJST!D6&lt;&gt;dropdowns!A9,IF(VRAGENLIJST!H21=dropdowns!A14,VRAGENLIJST!H19,0),IF(VRAGENLIJST!D21=dropdowns!A14,VRAGENLIJST!D19,0))</f>
        <v>0</v>
      </c>
      <c r="H19" s="457">
        <f t="shared" ref="H19:H20" si="3">G19*12</f>
        <v>0</v>
      </c>
      <c r="I19" s="453"/>
    </row>
    <row r="20" spans="1:9" x14ac:dyDescent="0.2">
      <c r="B20" s="448" t="str">
        <f>Vertaling!A199</f>
        <v>Inkomen partner</v>
      </c>
      <c r="C20" s="266"/>
      <c r="D20" s="457">
        <f>IF(OR(VRAGENLIJST!$D$6=dropdowns!$A$9,VRAGENLIJST!$D$6=""),VRAGENLIJST!H29,VRAGENLIJST!D29)</f>
        <v>0</v>
      </c>
      <c r="E20" s="457">
        <f t="shared" si="2"/>
        <v>0</v>
      </c>
      <c r="F20" s="266"/>
      <c r="G20" s="449">
        <f>IF(VRAGENLIJST!D6&lt;&gt;dropdowns!A9,VRAGENLIJST!H29,VRAGENLIJST!D29)</f>
        <v>0</v>
      </c>
      <c r="H20" s="457">
        <f t="shared" si="3"/>
        <v>0</v>
      </c>
      <c r="I20" s="453"/>
    </row>
    <row r="21" spans="1:9" ht="15" thickBot="1" x14ac:dyDescent="0.25">
      <c r="B21" s="454" t="str">
        <f>Vertaling!A200</f>
        <v>Toeslagen</v>
      </c>
      <c r="C21" s="266"/>
      <c r="D21" s="455">
        <f>IF(OR(VRAGENLIJST!$D$6=dropdowns!$A$9,VRAGENLIJST!$D$6=""),VRAGENLIJST!H23,VRAGENLIJST!D23)</f>
        <v>0</v>
      </c>
      <c r="E21" s="455">
        <f>D21*12</f>
        <v>0</v>
      </c>
      <c r="F21" s="266"/>
      <c r="G21" s="455">
        <f>IF(VRAGENLIJST!D6&lt;&gt;dropdowns!A9,VRAGENLIJST!H23,VRAGENLIJST!D23)</f>
        <v>0</v>
      </c>
      <c r="H21" s="455">
        <f>G21*12</f>
        <v>0</v>
      </c>
      <c r="I21" s="453"/>
    </row>
    <row r="22" spans="1:9" x14ac:dyDescent="0.2">
      <c r="B22" s="456" t="str">
        <f>Vertaling!A201</f>
        <v>Totale inkomsten</v>
      </c>
      <c r="C22" s="273"/>
      <c r="D22" s="457">
        <f>SUM(D18:D21)</f>
        <v>0</v>
      </c>
      <c r="E22" s="457">
        <f>SUM(E18:E21)</f>
        <v>0</v>
      </c>
      <c r="F22" s="273"/>
      <c r="G22" s="457">
        <f>SUM(G18:G21)</f>
        <v>0</v>
      </c>
      <c r="H22" s="457">
        <f>SUM(H18:H21)</f>
        <v>0</v>
      </c>
      <c r="I22" s="453"/>
    </row>
    <row r="23" spans="1:9" x14ac:dyDescent="0.2">
      <c r="B23" s="342"/>
      <c r="C23" s="349"/>
      <c r="D23" s="458"/>
      <c r="E23" s="458"/>
      <c r="F23" s="349"/>
      <c r="G23" s="458"/>
      <c r="H23" s="458"/>
      <c r="I23" s="453"/>
    </row>
    <row r="24" spans="1:9" x14ac:dyDescent="0.2">
      <c r="A24" s="460"/>
      <c r="B24" s="456" t="str">
        <f>Vertaling!A202</f>
        <v>Dit geld heb je elke maand nodig uit je bedrijf om van te leven</v>
      </c>
      <c r="C24" s="273"/>
      <c r="D24" s="457">
        <f>D15-D22</f>
        <v>0</v>
      </c>
      <c r="E24" s="457">
        <f>E15-E22</f>
        <v>0</v>
      </c>
      <c r="F24" s="273"/>
      <c r="G24" s="457">
        <f>G15-G22</f>
        <v>0</v>
      </c>
      <c r="H24" s="457">
        <f>H15-H22</f>
        <v>0</v>
      </c>
      <c r="I24" s="453"/>
    </row>
    <row r="25" spans="1:9" x14ac:dyDescent="0.2">
      <c r="B25" s="342"/>
      <c r="C25" s="461"/>
      <c r="D25" s="462"/>
      <c r="E25" s="462"/>
      <c r="F25" s="461"/>
      <c r="G25" s="462"/>
      <c r="H25" s="462"/>
      <c r="I25" s="453"/>
    </row>
    <row r="26" spans="1:9" x14ac:dyDescent="0.2">
      <c r="B26" s="342"/>
      <c r="C26" s="342"/>
      <c r="D26" s="462"/>
      <c r="E26" s="462"/>
      <c r="F26" s="342"/>
      <c r="G26" s="462"/>
      <c r="H26" s="462"/>
      <c r="I26" s="453"/>
    </row>
    <row r="27" spans="1:9" x14ac:dyDescent="0.2">
      <c r="B27" s="445" t="str">
        <f>Vertaling!A203</f>
        <v>Vermogen</v>
      </c>
      <c r="C27" s="342"/>
      <c r="D27" s="459"/>
      <c r="E27" s="459"/>
      <c r="F27" s="342"/>
      <c r="G27" s="459"/>
      <c r="H27" s="459"/>
      <c r="I27" s="453"/>
    </row>
    <row r="28" spans="1:9" x14ac:dyDescent="0.2">
      <c r="B28" s="448" t="str">
        <f>Vertaling!A204</f>
        <v>WOZ-waarde koopwoning</v>
      </c>
      <c r="C28" s="342"/>
      <c r="D28" s="475">
        <f>IF(OR(VRAGENLIJST!$D$6=dropdowns!$A$9,VRAGENLIJST!$D$6=""),VRAGENLIJST!H74,VRAGENLIJST!D74)</f>
        <v>0</v>
      </c>
      <c r="E28" s="475"/>
      <c r="F28" s="463"/>
      <c r="G28" s="475">
        <f>IF(VRAGENLIJST!D6&lt;&gt;dropdowns!A9,VRAGENLIJST!H74,VRAGENLIJST!D74)</f>
        <v>0</v>
      </c>
      <c r="H28" s="475"/>
      <c r="I28" s="453"/>
    </row>
    <row r="29" spans="1:9" x14ac:dyDescent="0.2">
      <c r="B29" s="448" t="str">
        <f>Vertaling!A205</f>
        <v>Spaargeld</v>
      </c>
      <c r="C29" s="342"/>
      <c r="D29" s="475">
        <f>IF(OR(VRAGENLIJST!$D$6=dropdowns!$A$9,VRAGENLIJST!$D$6=""),VRAGENLIJST!H80,VRAGENLIJST!D80)</f>
        <v>0</v>
      </c>
      <c r="E29" s="475"/>
      <c r="F29" s="463"/>
      <c r="G29" s="475">
        <f>IF(VRAGENLIJST!D6&lt;&gt;dropdowns!A9,VRAGENLIJST!H80,VRAGENLIJST!D80)</f>
        <v>0</v>
      </c>
      <c r="H29" s="475"/>
      <c r="I29" s="453"/>
    </row>
    <row r="30" spans="1:9" ht="15" thickBot="1" x14ac:dyDescent="0.25">
      <c r="B30" s="454" t="str">
        <f>Vertaling!A206</f>
        <v>Overig vermogen</v>
      </c>
      <c r="C30" s="342"/>
      <c r="D30" s="478">
        <f>IF(OR(VRAGENLIJST!D6=dropdowns!A9,VRAGENLIJST!D6=""),VRAGENLIJST!H82,VRAGENLIJST!D82)</f>
        <v>0</v>
      </c>
      <c r="E30" s="478"/>
      <c r="F30" s="463"/>
      <c r="G30" s="478">
        <f>IF(VRAGENLIJST!D6&lt;&gt;dropdowns!A9,VRAGENLIJST!H82,VRAGENLIJST!D82)</f>
        <v>0</v>
      </c>
      <c r="H30" s="478"/>
      <c r="I30" s="453"/>
    </row>
    <row r="31" spans="1:9" x14ac:dyDescent="0.2">
      <c r="B31" s="456" t="str">
        <f>Vertaling!A207</f>
        <v>Totaal vermogen</v>
      </c>
      <c r="C31" s="342"/>
      <c r="D31" s="479">
        <f>SUM(D28:E30)</f>
        <v>0</v>
      </c>
      <c r="E31" s="479"/>
      <c r="F31" s="463"/>
      <c r="G31" s="479">
        <f>SUM(G28:H30)</f>
        <v>0</v>
      </c>
      <c r="H31" s="479"/>
      <c r="I31" s="453"/>
    </row>
    <row r="32" spans="1:9" x14ac:dyDescent="0.2">
      <c r="B32" s="342"/>
      <c r="C32" s="461"/>
      <c r="D32" s="464"/>
      <c r="E32" s="464"/>
      <c r="F32" s="465"/>
      <c r="G32" s="464"/>
      <c r="H32" s="464"/>
      <c r="I32" s="453"/>
    </row>
    <row r="33" spans="2:9" x14ac:dyDescent="0.2">
      <c r="B33" s="445" t="str">
        <f>Vertaling!A208</f>
        <v>Schulden</v>
      </c>
      <c r="C33" s="342"/>
      <c r="D33" s="466"/>
      <c r="E33" s="466"/>
      <c r="F33" s="463"/>
      <c r="G33" s="466"/>
      <c r="H33" s="466"/>
      <c r="I33" s="453"/>
    </row>
    <row r="34" spans="2:9" x14ac:dyDescent="0.2">
      <c r="B34" s="448" t="str">
        <f>Vertaling!A209</f>
        <v>Hypotheek</v>
      </c>
      <c r="C34" s="342"/>
      <c r="D34" s="475">
        <f>IF(OR(VRAGENLIJST!D6=dropdowns!A9,VRAGENLIJST!D6=""),VRAGENLIJST!H76,VRAGENLIJST!D76)</f>
        <v>0</v>
      </c>
      <c r="E34" s="475"/>
      <c r="F34" s="463"/>
      <c r="G34" s="480">
        <f>IF(VRAGENLIJST!D6&lt;&gt;dropdowns!A9,VRAGENLIJST!H76,VRAGENLIJST!D76)</f>
        <v>0</v>
      </c>
      <c r="H34" s="480"/>
      <c r="I34" s="453"/>
    </row>
    <row r="35" spans="2:9" ht="15" thickBot="1" x14ac:dyDescent="0.25">
      <c r="B35" s="454" t="str">
        <f>Vertaling!A210</f>
        <v>Overige schulden</v>
      </c>
      <c r="C35" s="342"/>
      <c r="D35" s="478">
        <f>IF(OR(VRAGENLIJST!D6=dropdowns!A9,VRAGENLIJST!D6=""),VRAGENLIJST!H78,VRAGENLIJST!D78)</f>
        <v>0</v>
      </c>
      <c r="E35" s="478"/>
      <c r="F35" s="463"/>
      <c r="G35" s="478">
        <f>IF(VRAGENLIJST!D6&lt;&gt;dropdowns!A9,VRAGENLIJST!H78,VRAGENLIJST!D78)</f>
        <v>0</v>
      </c>
      <c r="H35" s="478"/>
      <c r="I35" s="453"/>
    </row>
    <row r="36" spans="2:9" x14ac:dyDescent="0.2">
      <c r="B36" s="456" t="str">
        <f>Vertaling!A211</f>
        <v>Totale schulden</v>
      </c>
      <c r="C36" s="342"/>
      <c r="D36" s="479">
        <f>SUM(D34:E35)</f>
        <v>0</v>
      </c>
      <c r="E36" s="479"/>
      <c r="F36" s="463"/>
      <c r="G36" s="479">
        <f>SUM(G34:H35)</f>
        <v>0</v>
      </c>
      <c r="H36" s="479"/>
      <c r="I36" s="453"/>
    </row>
    <row r="37" spans="2:9" x14ac:dyDescent="0.2">
      <c r="B37" s="453"/>
      <c r="C37" s="453"/>
      <c r="D37" s="467"/>
      <c r="E37" s="467"/>
      <c r="F37" s="453"/>
      <c r="G37" s="467"/>
      <c r="H37" s="467"/>
      <c r="I37" s="468"/>
    </row>
    <row r="38" spans="2:9" x14ac:dyDescent="0.2">
      <c r="B38" s="469"/>
      <c r="C38" s="469"/>
      <c r="D38" s="467"/>
      <c r="E38" s="467"/>
      <c r="F38" s="469"/>
      <c r="G38" s="467"/>
      <c r="H38" s="467"/>
      <c r="I38" s="468"/>
    </row>
    <row r="39" spans="2:9" ht="15" x14ac:dyDescent="0.25">
      <c r="B39" s="470"/>
      <c r="C39" s="470"/>
      <c r="D39" s="471"/>
      <c r="E39" s="471"/>
      <c r="F39" s="470"/>
      <c r="G39" s="471"/>
      <c r="H39" s="471"/>
      <c r="I39" s="468"/>
    </row>
    <row r="40" spans="2:9" ht="15" x14ac:dyDescent="0.25">
      <c r="B40" s="468"/>
      <c r="C40" s="468"/>
      <c r="D40" s="471"/>
      <c r="E40" s="471"/>
      <c r="F40" s="468"/>
      <c r="G40" s="471"/>
      <c r="H40" s="471"/>
      <c r="I40" s="468"/>
    </row>
    <row r="41" spans="2:9" ht="15" x14ac:dyDescent="0.25">
      <c r="B41" s="468"/>
      <c r="C41" s="468"/>
      <c r="D41" s="452"/>
      <c r="E41" s="452"/>
      <c r="F41" s="468"/>
      <c r="G41" s="452"/>
      <c r="H41" s="452"/>
      <c r="I41" s="453"/>
    </row>
    <row r="42" spans="2:9" x14ac:dyDescent="0.2">
      <c r="B42" s="468"/>
      <c r="C42" s="468"/>
      <c r="D42" s="450"/>
      <c r="E42" s="450"/>
      <c r="F42" s="468"/>
      <c r="G42" s="450"/>
      <c r="H42" s="450"/>
      <c r="I42" s="453"/>
    </row>
    <row r="43" spans="2:9" x14ac:dyDescent="0.2">
      <c r="D43" s="450"/>
      <c r="E43" s="450"/>
      <c r="G43" s="450"/>
      <c r="H43" s="450"/>
      <c r="I43" s="453"/>
    </row>
    <row r="44" spans="2:9" x14ac:dyDescent="0.2">
      <c r="D44" s="450"/>
      <c r="E44" s="450"/>
      <c r="G44" s="450"/>
      <c r="H44" s="450"/>
      <c r="I44" s="468"/>
    </row>
    <row r="45" spans="2:9" x14ac:dyDescent="0.2">
      <c r="D45" s="450"/>
      <c r="E45" s="450"/>
      <c r="G45" s="450"/>
      <c r="H45" s="450"/>
      <c r="I45" s="468"/>
    </row>
    <row r="46" spans="2:9" ht="15" x14ac:dyDescent="0.25">
      <c r="D46" s="451"/>
      <c r="E46" s="451"/>
      <c r="G46" s="451"/>
      <c r="H46" s="451"/>
      <c r="I46" s="468"/>
    </row>
    <row r="47" spans="2:9" ht="15" x14ac:dyDescent="0.25">
      <c r="D47" s="452"/>
      <c r="E47" s="452"/>
      <c r="G47" s="452"/>
      <c r="H47" s="452"/>
      <c r="I47" s="468"/>
    </row>
    <row r="48" spans="2:9" ht="15" x14ac:dyDescent="0.25">
      <c r="D48" s="451"/>
      <c r="E48" s="451"/>
      <c r="G48" s="451"/>
      <c r="H48" s="451"/>
      <c r="I48" s="468"/>
    </row>
    <row r="49" spans="4:9" x14ac:dyDescent="0.2">
      <c r="D49" s="468"/>
      <c r="E49" s="468"/>
      <c r="G49" s="468"/>
      <c r="H49" s="468"/>
      <c r="I49" s="468"/>
    </row>
    <row r="50" spans="4:9" x14ac:dyDescent="0.2">
      <c r="D50" s="468"/>
      <c r="E50" s="468"/>
      <c r="G50" s="468"/>
      <c r="H50" s="468"/>
      <c r="I50" s="468"/>
    </row>
    <row r="51" spans="4:9" x14ac:dyDescent="0.2">
      <c r="D51" s="468"/>
      <c r="E51" s="468"/>
      <c r="G51" s="468"/>
      <c r="H51" s="468"/>
      <c r="I51" s="468"/>
    </row>
  </sheetData>
  <sheetProtection algorithmName="SHA-512" hashValue="fFLtQDeKao6CpKcWld0akh8Poakf07M7On5pKXtAHRhfQhN7yOy/0Y5MnC98fqMqTfC80WWlu96nMJztWfVgig==" saltValue="M3UZ7ANxtW/Sk/6Z93F6Dg==" spinCount="100000" sheet="1" objects="1" scenarios="1"/>
  <mergeCells count="17">
    <mergeCell ref="D35:E35"/>
    <mergeCell ref="G35:H35"/>
    <mergeCell ref="D36:E36"/>
    <mergeCell ref="G36:H36"/>
    <mergeCell ref="D30:E30"/>
    <mergeCell ref="G30:H30"/>
    <mergeCell ref="D31:E31"/>
    <mergeCell ref="G31:H31"/>
    <mergeCell ref="D34:E34"/>
    <mergeCell ref="G34:H34"/>
    <mergeCell ref="D29:E29"/>
    <mergeCell ref="G29:H29"/>
    <mergeCell ref="B1:D1"/>
    <mergeCell ref="D2:E2"/>
    <mergeCell ref="G2:H2"/>
    <mergeCell ref="D28:E28"/>
    <mergeCell ref="G28:H28"/>
  </mergeCell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1" id="{B12FB050-2CA2-46D5-ABF3-FE451822675C}">
            <xm:f>OR(VRAGENLIJST!$D$6=dropdowns!$A$9,VRAGENLIJST!$D$4=dropdowns!$A$4)</xm:f>
            <x14:dxf>
              <font>
                <color theme="0"/>
              </font>
              <fill>
                <patternFill>
                  <bgColor theme="0"/>
                </patternFill>
              </fill>
              <border>
                <left/>
                <right/>
                <top/>
                <bottom/>
              </border>
            </x14:dxf>
          </x14:cfRule>
          <xm:sqref>G2:H36</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3">
    <tabColor rgb="FF232572"/>
    <pageSetUpPr fitToPage="1"/>
  </sheetPr>
  <dimension ref="A1:R56"/>
  <sheetViews>
    <sheetView zoomScaleNormal="100" workbookViewId="0">
      <selection activeCell="C23" sqref="C23"/>
    </sheetView>
  </sheetViews>
  <sheetFormatPr defaultRowHeight="15" x14ac:dyDescent="0.25"/>
  <cols>
    <col min="1" max="1" width="3.5703125" style="3" customWidth="1"/>
    <col min="2" max="2" width="39.85546875" style="3" customWidth="1"/>
    <col min="3" max="5" width="15.7109375" style="3" customWidth="1"/>
    <col min="6" max="6" width="10.42578125" style="3" customWidth="1"/>
    <col min="7" max="7" width="41.7109375" style="3" customWidth="1"/>
    <col min="8" max="8" width="15.85546875" style="3" customWidth="1"/>
    <col min="9" max="9" width="3.5703125" style="3" customWidth="1"/>
    <col min="10" max="10" width="21.85546875" style="3" customWidth="1"/>
    <col min="11" max="16384" width="9.140625" style="3"/>
  </cols>
  <sheetData>
    <row r="1" spans="1:18" ht="93" customHeight="1" x14ac:dyDescent="0.25">
      <c r="A1" s="1"/>
      <c r="B1" s="171" t="str">
        <f>Vertaling!A216</f>
        <v xml:space="preserve">Investerings- &amp; Financieringsbegroting </v>
      </c>
      <c r="C1" s="52"/>
      <c r="D1" s="52"/>
      <c r="E1" s="52"/>
      <c r="F1" s="52"/>
      <c r="G1" s="439" t="str">
        <f>Vertaling!A304</f>
        <v>Wat is dit?</v>
      </c>
    </row>
    <row r="2" spans="1:18" x14ac:dyDescent="0.25">
      <c r="A2" s="1"/>
      <c r="B2" s="261"/>
      <c r="C2" s="261"/>
      <c r="D2" s="261"/>
      <c r="E2" s="261"/>
      <c r="F2" s="261"/>
      <c r="G2" s="261"/>
      <c r="H2" s="261"/>
      <c r="I2" s="261"/>
      <c r="J2" s="208"/>
      <c r="K2" s="261"/>
      <c r="L2" s="261"/>
      <c r="M2" s="261"/>
      <c r="R2" s="14"/>
    </row>
    <row r="3" spans="1:18" ht="14.25" customHeight="1" x14ac:dyDescent="0.25">
      <c r="B3" s="262" t="str">
        <f>Vertaling!A217</f>
        <v>Vaste activa (excl. btw)</v>
      </c>
      <c r="C3" s="263" t="str">
        <f>Vertaling!A230</f>
        <v>In bezit</v>
      </c>
      <c r="D3" s="264" t="str">
        <f>Vertaling!A231</f>
        <v>Investeren</v>
      </c>
      <c r="E3" s="265" t="str">
        <f>Vertaling!A232</f>
        <v>Totaal</v>
      </c>
      <c r="F3" s="266"/>
      <c r="G3" s="262" t="str">
        <f>Vertaling!A233</f>
        <v>Eigen inbreng</v>
      </c>
      <c r="H3" s="267"/>
      <c r="I3" s="261"/>
      <c r="J3" s="261"/>
      <c r="K3" s="261"/>
      <c r="L3" s="261"/>
      <c r="M3" s="261"/>
    </row>
    <row r="4" spans="1:18" ht="14.25" customHeight="1" x14ac:dyDescent="0.25">
      <c r="B4" s="268" t="str">
        <f>Vertaling!A218</f>
        <v>Aankoop onroerend goed</v>
      </c>
      <c r="C4" s="398">
        <f>IF(OR(VRAGENLIJST!D87=dropdowns!$B$28,VRAGENLIJST!D87=dropdowns!$C$28,VRAGENLIJST!D87=dropdowns!$D$28,VRAGENLIJST!D87=dropdowns!$E$28),VRAGENLIJST!H87,0)</f>
        <v>0</v>
      </c>
      <c r="D4" s="398">
        <f>IF(VRAGENLIJST!D87="",VRAGENLIJST!H87,IF(OR(VRAGENLIJST!D87=dropdowns!$B$29,VRAGENLIJST!D87=dropdowns!$C$29,VRAGENLIJST!D87=dropdowns!$D$29,VRAGENLIJST!D87=dropdowns!$E$29),VRAGENLIJST!H87,0))</f>
        <v>0</v>
      </c>
      <c r="E4" s="269">
        <f t="shared" ref="E4:E9" si="0">SUM(C4:D4)</f>
        <v>0</v>
      </c>
      <c r="F4" s="266"/>
      <c r="G4" s="268" t="str">
        <f>Vertaling!A234</f>
        <v>Activa in bezit</v>
      </c>
      <c r="H4" s="270">
        <f>C17</f>
        <v>0</v>
      </c>
      <c r="I4" s="261"/>
      <c r="J4" s="261"/>
      <c r="K4" s="261"/>
      <c r="L4" s="261"/>
      <c r="M4" s="261"/>
    </row>
    <row r="5" spans="1:18" x14ac:dyDescent="0.25">
      <c r="B5" s="268" t="str">
        <f>Vertaling!A219</f>
        <v xml:space="preserve">Verbouwing </v>
      </c>
      <c r="C5" s="398">
        <f>IF(OR(VRAGENLIJST!D89=dropdowns!$B$28,VRAGENLIJST!D89=dropdowns!$C$28,VRAGENLIJST!D89=dropdowns!$D$28,VRAGENLIJST!D89=dropdowns!$E$28),VRAGENLIJST!H89,0)</f>
        <v>0</v>
      </c>
      <c r="D5" s="398">
        <f>IF(VRAGENLIJST!D89="",VRAGENLIJST!H89,IF(OR(VRAGENLIJST!D89=dropdowns!$B$29,VRAGENLIJST!D89=dropdowns!$C$29,VRAGENLIJST!D89=dropdowns!$D$29,VRAGENLIJST!D89=dropdowns!$E$29),VRAGENLIJST!H89,0))</f>
        <v>0</v>
      </c>
      <c r="E5" s="269">
        <f t="shared" si="0"/>
        <v>0</v>
      </c>
      <c r="F5" s="266"/>
      <c r="G5" s="268" t="str">
        <f>Vertaling!A235</f>
        <v>Spaargeld</v>
      </c>
      <c r="H5" s="270">
        <f>VRAGENLIJST!H118</f>
        <v>0</v>
      </c>
      <c r="I5" s="261"/>
      <c r="J5" s="208"/>
      <c r="K5" s="261"/>
      <c r="L5" s="261"/>
      <c r="M5" s="261"/>
    </row>
    <row r="6" spans="1:18" ht="14.25" customHeight="1" x14ac:dyDescent="0.25">
      <c r="B6" s="268" t="str">
        <f>Vertaling!A220</f>
        <v>Inventaris en inrichting</v>
      </c>
      <c r="C6" s="398">
        <f>IF(OR(VRAGENLIJST!D91=dropdowns!$B$28,VRAGENLIJST!D91=dropdowns!$C$28,VRAGENLIJST!D91=dropdowns!$D$28,VRAGENLIJST!D91=dropdowns!$E$28),VRAGENLIJST!H91,0)+IF(OR(VRAGENLIJST!D93=dropdowns!$B$28,VRAGENLIJST!D93=dropdowns!$C$28,VRAGENLIJST!D93=dropdowns!$D$28,VRAGENLIJST!D93=dropdowns!$E$28),VRAGENLIJST!H93,0)</f>
        <v>0</v>
      </c>
      <c r="D6" s="398">
        <f>IF(VRAGENLIJST!D91="",VRAGENLIJST!H91,IF(OR(VRAGENLIJST!D91=dropdowns!$B$29,VRAGENLIJST!D91=dropdowns!$C$29,VRAGENLIJST!D91=dropdowns!$D$29,VRAGENLIJST!D91=dropdowns!$E$29),VRAGENLIJST!H91,0))+IF(VRAGENLIJST!D93="",VRAGENLIJST!H93,IF(OR(VRAGENLIJST!D93=dropdowns!$B$29,VRAGENLIJST!D93=dropdowns!$C$29,VRAGENLIJST!D93=dropdowns!$D$29,VRAGENLIJST!D93=dropdowns!$E$29),VRAGENLIJST!H93,0))</f>
        <v>0</v>
      </c>
      <c r="E6" s="269">
        <f t="shared" si="0"/>
        <v>0</v>
      </c>
      <c r="F6" s="266"/>
      <c r="G6" s="268" t="str">
        <f>Vertaling!A236</f>
        <v>Leningen (familie/vrienden)</v>
      </c>
      <c r="H6" s="270">
        <f>VRAGENLIJST!H120</f>
        <v>0</v>
      </c>
      <c r="I6" s="261"/>
      <c r="J6" s="261"/>
      <c r="K6" s="261"/>
      <c r="L6" s="261"/>
      <c r="M6" s="261"/>
    </row>
    <row r="7" spans="1:18" ht="14.25" customHeight="1" x14ac:dyDescent="0.25">
      <c r="B7" s="268" t="str">
        <f>Vertaling!A221</f>
        <v>Computer en software</v>
      </c>
      <c r="C7" s="398">
        <f>IF(OR(VRAGENLIJST!D95=dropdowns!$B$28,VRAGENLIJST!D95=dropdowns!$C$28,VRAGENLIJST!D95=dropdowns!$D$28,VRAGENLIJST!D95=dropdowns!$E$28),VRAGENLIJST!H95,0)</f>
        <v>0</v>
      </c>
      <c r="D7" s="398">
        <f>IF(VRAGENLIJST!D95="",VRAGENLIJST!H95,IF(OR(VRAGENLIJST!D95=dropdowns!$B$29,VRAGENLIJST!D95=dropdowns!$C$29,VRAGENLIJST!D95=dropdowns!$D$29,VRAGENLIJST!D95=dropdowns!$E$29),VRAGENLIJST!H95,0))</f>
        <v>0</v>
      </c>
      <c r="E7" s="269">
        <f t="shared" si="0"/>
        <v>0</v>
      </c>
      <c r="F7" s="266"/>
      <c r="G7" s="271" t="str">
        <f>Vertaling!A237</f>
        <v>Totaal eigen vermogen</v>
      </c>
      <c r="H7" s="272">
        <f>SUM(H4:H6)</f>
        <v>0</v>
      </c>
      <c r="I7" s="261"/>
      <c r="J7" s="261"/>
      <c r="K7" s="261"/>
      <c r="L7" s="261"/>
      <c r="M7" s="261"/>
    </row>
    <row r="8" spans="1:18" ht="14.25" customHeight="1" x14ac:dyDescent="0.25">
      <c r="B8" s="268" t="str">
        <f>Vertaling!A222</f>
        <v>Transportmiddel</v>
      </c>
      <c r="C8" s="398">
        <f>IF(OR(VRAGENLIJST!D97=dropdowns!$B$28,VRAGENLIJST!D97=dropdowns!$C$28,VRAGENLIJST!D97=dropdowns!$D$28,VRAGENLIJST!D97=dropdowns!$E$28),VRAGENLIJST!H97,0)</f>
        <v>0</v>
      </c>
      <c r="D8" s="398">
        <f>IF(VRAGENLIJST!D97="",VRAGENLIJST!H97,IF(OR(VRAGENLIJST!D97=dropdowns!$B$29,VRAGENLIJST!D97=dropdowns!$C$29,VRAGENLIJST!D97=dropdowns!$D$29,VRAGENLIJST!D97=dropdowns!$E$29),VRAGENLIJST!H97,0))</f>
        <v>0</v>
      </c>
      <c r="E8" s="269">
        <f t="shared" si="0"/>
        <v>0</v>
      </c>
      <c r="F8" s="266"/>
      <c r="G8" s="273"/>
      <c r="H8" s="274"/>
      <c r="I8" s="261"/>
      <c r="J8" s="261"/>
      <c r="K8" s="261"/>
      <c r="L8" s="261"/>
      <c r="M8" s="261"/>
    </row>
    <row r="9" spans="1:18" ht="14.25" customHeight="1" x14ac:dyDescent="0.25">
      <c r="B9" s="268" t="str">
        <f>Vertaling!A223</f>
        <v>Goodwill/Franchisefee/Huurgarantie</v>
      </c>
      <c r="C9" s="275"/>
      <c r="D9" s="398">
        <f>VRAGENLIJST!H105+VRAGENLIJST!H107+VRAGENLIJST!H109</f>
        <v>0</v>
      </c>
      <c r="E9" s="269">
        <f t="shared" si="0"/>
        <v>0</v>
      </c>
      <c r="F9" s="266"/>
      <c r="G9" s="273"/>
      <c r="H9" s="274"/>
      <c r="I9" s="261"/>
      <c r="J9" s="261"/>
      <c r="K9" s="261"/>
      <c r="L9" s="261"/>
      <c r="M9" s="261"/>
    </row>
    <row r="10" spans="1:18" ht="14.25" customHeight="1" x14ac:dyDescent="0.25">
      <c r="B10" s="273"/>
      <c r="C10" s="273"/>
      <c r="D10" s="273"/>
      <c r="E10" s="273"/>
      <c r="F10" s="273"/>
      <c r="G10" s="273"/>
      <c r="H10" s="274"/>
      <c r="I10" s="261"/>
      <c r="J10" s="261"/>
      <c r="K10" s="261"/>
      <c r="L10" s="261"/>
      <c r="M10" s="261"/>
    </row>
    <row r="11" spans="1:18" ht="14.25" customHeight="1" x14ac:dyDescent="0.25">
      <c r="B11" s="262" t="str">
        <f>Vertaling!A224</f>
        <v>Vlottende activa (excl. btw)</v>
      </c>
      <c r="C11" s="263"/>
      <c r="D11" s="264"/>
      <c r="E11" s="265"/>
      <c r="F11" s="266"/>
      <c r="G11" s="262" t="str">
        <f>Vertaling!A238</f>
        <v>Financiering</v>
      </c>
      <c r="H11" s="276"/>
      <c r="I11" s="277"/>
      <c r="J11" s="261"/>
      <c r="K11" s="261"/>
      <c r="L11" s="261"/>
      <c r="M11" s="261"/>
    </row>
    <row r="12" spans="1:18" ht="14.25" customHeight="1" x14ac:dyDescent="0.25">
      <c r="B12" s="268" t="str">
        <f>Vertaling!A225</f>
        <v>Startvoorraad</v>
      </c>
      <c r="C12" s="398">
        <f>IF(OR(VRAGENLIJST!D99=dropdowns!$B$28,VRAGENLIJST!D99=dropdowns!$C$28,VRAGENLIJST!D99=dropdowns!$D$28,VRAGENLIJST!D99=dropdowns!$E$28),VRAGENLIJST!H99,0)+IF(OR(VRAGENLIJST!D101=dropdowns!$B$28,VRAGENLIJST!D101=dropdowns!$C$28,VRAGENLIJST!D101=dropdowns!$D$28,VRAGENLIJST!D101=dropdowns!$E$308),VRAGENLIJST!H101,0)+IF(OR(VRAGENLIJST!D103=dropdowns!$B$28,VRAGENLIJST!D103=dropdowns!$C$28,VRAGENLIJST!D103=dropdowns!$D$28,VRAGENLIJST!D103=dropdowns!$E$308),VRAGENLIJST!H103,0)</f>
        <v>0</v>
      </c>
      <c r="D12" s="398">
        <f>IF(VRAGENLIJST!D99="",VRAGENLIJST!H99,IF(OR(VRAGENLIJST!D99=dropdowns!$B$29,VRAGENLIJST!D99=dropdowns!$C$29,VRAGENLIJST!D99=dropdowns!$D$29,VRAGENLIJST!D99=dropdowns!$E$29),VRAGENLIJST!H99,0))+IF(VRAGENLIJST!D101="",VRAGENLIJST!H101,IF(OR(VRAGENLIJST!D101=dropdowns!$B$29,VRAGENLIJST!D101=dropdowns!$C$29,VRAGENLIJST!D101=dropdowns!$D$29,VRAGENLIJST!D101=dropdowns!$E$29),VRAGENLIJST!H101,0))+IF(VRAGENLIJST!D103="",VRAGENLIJST!H103,IF(OR(VRAGENLIJST!D103=dropdowns!$B$29,VRAGENLIJST!D103=dropdowns!$C$29,VRAGENLIJST!D103=dropdowns!$D$29,VRAGENLIJST!D103=dropdowns!$E$29),VRAGENLIJST!H103,0))</f>
        <v>0</v>
      </c>
      <c r="E12" s="269">
        <f>SUM(C12:D12)</f>
        <v>0</v>
      </c>
      <c r="F12" s="266"/>
      <c r="G12" s="268" t="str">
        <f>Vertaling!A239</f>
        <v>Financiering overig</v>
      </c>
      <c r="H12" s="270">
        <f>VRAGENLIJST!H128</f>
        <v>0</v>
      </c>
      <c r="I12" s="261"/>
      <c r="J12" s="261"/>
      <c r="K12" s="261"/>
      <c r="L12" s="261"/>
      <c r="M12" s="261"/>
    </row>
    <row r="13" spans="1:18" ht="14.25" customHeight="1" x14ac:dyDescent="0.25">
      <c r="B13" s="268" t="str">
        <f>Vertaling!A226</f>
        <v>Promotie- en aanloopkosten</v>
      </c>
      <c r="C13" s="275"/>
      <c r="D13" s="398">
        <f>VRAGENLIJST!H111</f>
        <v>0</v>
      </c>
      <c r="E13" s="269">
        <f>D13</f>
        <v>0</v>
      </c>
      <c r="F13" s="266"/>
      <c r="G13" s="268" t="str">
        <f>Vertaling!A240</f>
        <v>Financiering kredietverstrekker</v>
      </c>
      <c r="H13" s="270">
        <f>IF(E17-H7-H12&lt;0,0,E17-H7-H12)</f>
        <v>0</v>
      </c>
      <c r="I13" s="261"/>
      <c r="J13" s="261"/>
      <c r="K13" s="261"/>
      <c r="L13" s="261"/>
      <c r="M13" s="261"/>
    </row>
    <row r="14" spans="1:18" ht="14.25" customHeight="1" x14ac:dyDescent="0.25">
      <c r="B14" s="268" t="str">
        <f>Vertaling!A227</f>
        <v>Btw over investeringen</v>
      </c>
      <c r="C14" s="275"/>
      <c r="D14" s="269">
        <f>VRAGENLIJST!H113</f>
        <v>0</v>
      </c>
      <c r="E14" s="269">
        <f>D14</f>
        <v>0</v>
      </c>
      <c r="F14" s="273"/>
      <c r="G14" s="271" t="str">
        <f>Vertaling!A241</f>
        <v>Totaal vreemd vermogen</v>
      </c>
      <c r="H14" s="272">
        <f>SUM(H12:H13)</f>
        <v>0</v>
      </c>
      <c r="I14" s="261"/>
      <c r="J14" s="261"/>
      <c r="K14" s="261"/>
      <c r="L14" s="261"/>
      <c r="M14" s="261"/>
    </row>
    <row r="15" spans="1:18" x14ac:dyDescent="0.25">
      <c r="B15" s="268" t="str">
        <f>Vertaling!A228</f>
        <v>Kas (reserve)</v>
      </c>
      <c r="C15" s="275"/>
      <c r="D15" s="398">
        <f>VRAGENLIJST!H115+IF(SUM('Investering &amp; Financiering'!D4:D14)+VRAGENLIJST!H115-'Investering &amp; Financiering'!H5-'Investering &amp; Financiering'!H6-'Investering &amp; Financiering'!H12&lt;0,-1*(SUM('Investering &amp; Financiering'!D4:D14)+VRAGENLIJST!H115-'Investering &amp; Financiering'!H5-'Investering &amp; Financiering'!H6-'Investering &amp; Financiering'!H12),0)</f>
        <v>0</v>
      </c>
      <c r="E15" s="269">
        <f>D15</f>
        <v>0</v>
      </c>
      <c r="F15" s="273"/>
      <c r="G15" s="278"/>
      <c r="H15" s="274"/>
      <c r="I15" s="261"/>
      <c r="J15" s="261"/>
      <c r="K15" s="261"/>
      <c r="L15" s="261"/>
      <c r="M15" s="261"/>
    </row>
    <row r="16" spans="1:18" ht="13.5" customHeight="1" x14ac:dyDescent="0.25">
      <c r="B16" s="273"/>
      <c r="C16" s="273"/>
      <c r="D16" s="273"/>
      <c r="E16" s="273"/>
      <c r="F16" s="279"/>
      <c r="G16" s="261"/>
      <c r="H16" s="261"/>
      <c r="I16" s="261"/>
      <c r="J16" s="261"/>
      <c r="K16" s="261"/>
      <c r="L16" s="261"/>
      <c r="M16" s="261"/>
    </row>
    <row r="17" spans="2:13" ht="13.5" customHeight="1" x14ac:dyDescent="0.25">
      <c r="B17" s="280" t="str">
        <f>Vertaling!A229</f>
        <v>Totaal investeringsbedrag</v>
      </c>
      <c r="C17" s="281">
        <f>SUM(C4:C12)</f>
        <v>0</v>
      </c>
      <c r="D17" s="281">
        <f>SUM(D4:D16)</f>
        <v>0</v>
      </c>
      <c r="E17" s="282">
        <f>SUM(E4:E16)</f>
        <v>0</v>
      </c>
      <c r="F17" s="266"/>
      <c r="G17" s="280" t="str">
        <f>Vertaling!A242</f>
        <v>Totaal</v>
      </c>
      <c r="H17" s="282">
        <f>H7+H14</f>
        <v>0</v>
      </c>
      <c r="I17" s="261"/>
      <c r="J17" s="261"/>
      <c r="K17" s="261"/>
      <c r="L17" s="261"/>
      <c r="M17" s="261"/>
    </row>
    <row r="18" spans="2:13" x14ac:dyDescent="0.25">
      <c r="B18" s="266"/>
      <c r="C18" s="283"/>
      <c r="D18" s="284"/>
      <c r="E18" s="285"/>
      <c r="F18" s="266"/>
      <c r="G18" s="266"/>
      <c r="H18" s="266"/>
      <c r="I18" s="261"/>
      <c r="J18" s="261"/>
      <c r="K18" s="261"/>
      <c r="L18" s="261"/>
      <c r="M18" s="261"/>
    </row>
    <row r="19" spans="2:13" x14ac:dyDescent="0.25">
      <c r="B19" s="261"/>
      <c r="C19" s="261"/>
      <c r="D19" s="285"/>
      <c r="E19" s="261"/>
      <c r="F19" s="266"/>
      <c r="G19" s="266"/>
      <c r="H19" s="266"/>
      <c r="I19" s="261"/>
      <c r="J19" s="261"/>
      <c r="K19" s="261"/>
      <c r="L19" s="261"/>
      <c r="M19" s="261"/>
    </row>
    <row r="20" spans="2:13" x14ac:dyDescent="0.25">
      <c r="B20" s="286" t="str">
        <f>Vertaling!A243</f>
        <v>Lening Qredits</v>
      </c>
      <c r="C20" s="287">
        <f>IF(SUM('Investering &amp; Financiering'!D4:D14)+VRAGENLIJST!H115-'Investering &amp; Financiering'!H5-'Investering &amp; Financiering'!H6-'Investering &amp; Financiering'!H12&lt;0,0,SUM('Investering &amp; Financiering'!D4:D14)+VRAGENLIJST!H115-'Investering &amp; Financiering'!H5-'Investering &amp; Financiering'!H6-'Investering &amp; Financiering'!H12)</f>
        <v>0</v>
      </c>
      <c r="D20" s="266"/>
      <c r="E20" s="261"/>
      <c r="F20" s="262" t="str">
        <f>Vertaling!A252</f>
        <v>Voorwaarden (indicatie)</v>
      </c>
      <c r="G20" s="264"/>
      <c r="H20" s="276"/>
      <c r="I20" s="261"/>
      <c r="J20" s="261"/>
      <c r="K20" s="261"/>
      <c r="L20" s="261"/>
      <c r="M20" s="261"/>
    </row>
    <row r="21" spans="2:13" x14ac:dyDescent="0.25">
      <c r="B21" s="261"/>
      <c r="C21" s="266"/>
      <c r="D21" s="266"/>
      <c r="E21" s="261"/>
      <c r="F21" s="288" t="str">
        <f>Vertaling!A253</f>
        <v>Rentepercentage²</v>
      </c>
      <c r="G21" s="289"/>
      <c r="H21" s="399">
        <f>IF(C20&gt;50000,0.0995,0.1095)</f>
        <v>0.1095</v>
      </c>
      <c r="I21" s="261"/>
      <c r="J21" s="261"/>
      <c r="K21" s="261"/>
      <c r="L21" s="261"/>
      <c r="M21" s="261"/>
    </row>
    <row r="22" spans="2:13" x14ac:dyDescent="0.25">
      <c r="B22" s="266"/>
      <c r="C22" s="290" t="str">
        <f>Vertaling!A244</f>
        <v>In hoeveel jaar wil je de lening terugbetalen?</v>
      </c>
      <c r="D22" s="266"/>
      <c r="E22" s="261"/>
      <c r="F22" s="268" t="str">
        <f>Vertaling!A254</f>
        <v>Behandelkosten</v>
      </c>
      <c r="G22" s="291"/>
      <c r="H22" s="292">
        <f>'Qredits maandlasten'!J7</f>
        <v>0</v>
      </c>
      <c r="I22" s="261"/>
      <c r="J22" s="261"/>
      <c r="K22" s="261"/>
      <c r="L22" s="261"/>
      <c r="M22" s="261"/>
    </row>
    <row r="23" spans="2:13" ht="16.5" customHeight="1" x14ac:dyDescent="0.25">
      <c r="B23" s="229" t="str">
        <f>Vertaling!$A$247</f>
        <v>Selecteer:</v>
      </c>
      <c r="C23" s="211"/>
      <c r="D23" s="293" t="str">
        <f>Vertaling!A248</f>
        <v xml:space="preserve">  jaren</v>
      </c>
      <c r="F23" s="268" t="str">
        <f>Vertaling!A255</f>
        <v>Effectieve rente²</v>
      </c>
      <c r="G23" s="294"/>
      <c r="H23" s="295">
        <f ca="1">'Qredits maandlasten'!J10</f>
        <v>0</v>
      </c>
    </row>
    <row r="24" spans="2:13" x14ac:dyDescent="0.25">
      <c r="B24" s="266"/>
      <c r="C24" s="290" t="str">
        <f>Vertaling!A245</f>
        <v>Na hoeveel maanden wil je beginnen met aflossen?</v>
      </c>
      <c r="D24" s="15"/>
      <c r="F24" s="296" t="str">
        <f>Vertaling!A256</f>
        <v>Maandlasten³</v>
      </c>
      <c r="G24" s="297"/>
      <c r="H24" s="298"/>
    </row>
    <row r="25" spans="2:13" ht="16.5" customHeight="1" x14ac:dyDescent="0.25">
      <c r="B25" s="229" t="str">
        <f>Vertaling!$A$247</f>
        <v>Selecteer:</v>
      </c>
      <c r="C25" s="211"/>
      <c r="D25" s="293" t="str">
        <f>Vertaling!A249</f>
        <v xml:space="preserve">  maanden</v>
      </c>
      <c r="F25" s="268" t="str">
        <f>IF(OR(C27=dropdowns!B120,C27=dropdowns!C120),Vertaling!A257,Vertaling!A258)</f>
        <v>Bedrag aflossing</v>
      </c>
      <c r="G25" s="141"/>
      <c r="H25" s="292" t="e">
        <f>IF(OR(C27=dropdowns!B120,C27=dropdowns!C120),'Qredits maandlasten'!J3,C20/(C23*12-C25))</f>
        <v>#DIV/0!</v>
      </c>
    </row>
    <row r="26" spans="2:13" ht="16.5" customHeight="1" x14ac:dyDescent="0.25">
      <c r="B26" s="15"/>
      <c r="C26" s="290" t="str">
        <f>Vertaling!A246</f>
        <v>Hoe wil je aflossen?</v>
      </c>
      <c r="D26" s="15"/>
      <c r="F26" s="299" t="str">
        <f>Vertaling!A259</f>
        <v>² Onder voorbehoud van wijzigingen, kijk voor meer informatie op www.qredits.nl</v>
      </c>
      <c r="G26" s="16"/>
      <c r="H26" s="15"/>
    </row>
    <row r="27" spans="2:13" ht="15" customHeight="1" x14ac:dyDescent="0.25">
      <c r="B27" s="229" t="str">
        <f>Vertaling!$A$247</f>
        <v>Selecteer:</v>
      </c>
      <c r="C27" s="211"/>
      <c r="D27" s="481" t="str">
        <f>IF(C27="","",IF('Investering &amp; Financiering'!$C$27="Annuïteit",Vertaling!A250,Vertaling!A251))</f>
        <v/>
      </c>
      <c r="E27" s="481"/>
      <c r="F27" s="299" t="str">
        <f>Vertaling!A260</f>
        <v>³ Specificatie in 'Qredits maandlasten'</v>
      </c>
      <c r="G27" s="16"/>
      <c r="H27" s="15"/>
    </row>
    <row r="28" spans="2:13" x14ac:dyDescent="0.25">
      <c r="D28" s="481"/>
      <c r="E28" s="481"/>
    </row>
    <row r="56" ht="14.25" customHeight="1" x14ac:dyDescent="0.25"/>
  </sheetData>
  <sheetProtection algorithmName="SHA-512" hashValue="uwIv+YYTcJa00tAvQLCL16mx8m8FqIE2r1IOivFwhE9H3MVt1iA5KeO5jxNQZUQd42Yv2lZpj7bZts6+VFNRIw==" saltValue="qABrwcOfL9JPu/qkeESNmw==" spinCount="100000" sheet="1" formatColumns="0"/>
  <mergeCells count="1">
    <mergeCell ref="D27:E28"/>
  </mergeCells>
  <dataValidations count="3">
    <dataValidation type="list" allowBlank="1" showInputMessage="1" showErrorMessage="1" sqref="C25" xr:uid="{00000000-0002-0000-0300-000000000000}">
      <formula1>Maanden6</formula1>
    </dataValidation>
    <dataValidation type="list" allowBlank="1" showInputMessage="1" showErrorMessage="1" sqref="C23" xr:uid="{00000000-0002-0000-0300-000001000000}">
      <formula1>Looptijd</formula1>
    </dataValidation>
    <dataValidation type="list" allowBlank="1" showInputMessage="1" showErrorMessage="1" sqref="C27" xr:uid="{00000000-0002-0000-0300-000002000000}">
      <formula1>Aflosmethode</formula1>
    </dataValidation>
  </dataValidations>
  <pageMargins left="0.74791666666666667" right="0.74791666666666667" top="0.98402777777777772" bottom="0.98402777777777772" header="0.51180555555555551" footer="0.51180555555555551"/>
  <pageSetup paperSize="9" scale="81" firstPageNumber="0" fitToHeight="0" orientation="landscape"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4">
    <tabColor rgb="FF232572"/>
    <pageSetUpPr fitToPage="1"/>
  </sheetPr>
  <dimension ref="A1:AP50"/>
  <sheetViews>
    <sheetView zoomScaleNormal="100" workbookViewId="0">
      <selection activeCell="B1" sqref="B1"/>
    </sheetView>
  </sheetViews>
  <sheetFormatPr defaultRowHeight="14.25" customHeight="1" x14ac:dyDescent="0.25"/>
  <cols>
    <col min="1" max="1" width="3.140625" style="17" customWidth="1"/>
    <col min="2" max="2" width="37.28515625" style="303" customWidth="1"/>
    <col min="3" max="3" width="12.85546875" style="303" customWidth="1"/>
    <col min="4" max="15" width="10.7109375" style="303" customWidth="1"/>
    <col min="16" max="16" width="12.85546875" style="303" customWidth="1"/>
    <col min="17" max="18" width="10.7109375" style="303" customWidth="1"/>
    <col min="19" max="42" width="10.7109375" style="17" customWidth="1"/>
    <col min="43" max="16384" width="9.140625" style="17"/>
  </cols>
  <sheetData>
    <row r="1" spans="1:42" ht="93" customHeight="1" x14ac:dyDescent="0.25">
      <c r="B1" s="300" t="str">
        <f>Vertaling!A265</f>
        <v>Liquiditeitsbegroting</v>
      </c>
      <c r="C1" s="53"/>
      <c r="D1" s="53"/>
      <c r="E1" s="439" t="str">
        <f>Vertaling!A304</f>
        <v>Wat is dit?</v>
      </c>
      <c r="F1" s="208"/>
      <c r="G1" s="53"/>
      <c r="H1" s="17"/>
      <c r="I1" s="17"/>
      <c r="J1" s="17"/>
      <c r="K1" s="17"/>
      <c r="L1" s="17"/>
      <c r="M1" s="17"/>
      <c r="N1" s="17"/>
      <c r="O1" s="17"/>
      <c r="P1" s="17"/>
      <c r="Q1" s="17"/>
      <c r="R1" s="17"/>
    </row>
    <row r="2" spans="1:42" ht="15" x14ac:dyDescent="0.25">
      <c r="B2" s="302"/>
      <c r="D2" s="304"/>
      <c r="R2" s="208"/>
    </row>
    <row r="3" spans="1:42" ht="14.25" customHeight="1" x14ac:dyDescent="0.25">
      <c r="B3" s="305" t="str">
        <f>Vertaling!A266</f>
        <v>Maand</v>
      </c>
      <c r="C3" s="306">
        <v>0</v>
      </c>
      <c r="D3" s="306">
        <v>1</v>
      </c>
      <c r="E3" s="306">
        <v>2</v>
      </c>
      <c r="F3" s="306">
        <v>3</v>
      </c>
      <c r="G3" s="306">
        <v>4</v>
      </c>
      <c r="H3" s="306">
        <v>5</v>
      </c>
      <c r="I3" s="306">
        <v>6</v>
      </c>
      <c r="J3" s="306">
        <v>7</v>
      </c>
      <c r="K3" s="306">
        <v>8</v>
      </c>
      <c r="L3" s="306">
        <v>9</v>
      </c>
      <c r="M3" s="306">
        <v>10</v>
      </c>
      <c r="N3" s="306">
        <v>11</v>
      </c>
      <c r="O3" s="306">
        <v>12</v>
      </c>
      <c r="P3" s="307" t="s">
        <v>52</v>
      </c>
      <c r="Q3" s="306">
        <v>13</v>
      </c>
      <c r="R3" s="306">
        <v>14</v>
      </c>
      <c r="S3" s="306">
        <v>15</v>
      </c>
      <c r="T3" s="306">
        <v>16</v>
      </c>
      <c r="U3" s="306">
        <v>17</v>
      </c>
      <c r="V3" s="306">
        <v>18</v>
      </c>
      <c r="W3" s="306">
        <v>19</v>
      </c>
      <c r="X3" s="306">
        <v>20</v>
      </c>
      <c r="Y3" s="306">
        <v>21</v>
      </c>
      <c r="Z3" s="306">
        <v>22</v>
      </c>
      <c r="AA3" s="306">
        <v>23</v>
      </c>
      <c r="AB3" s="306">
        <v>24</v>
      </c>
      <c r="AC3" s="307" t="str">
        <f>Vertaling!A242</f>
        <v>Totaal</v>
      </c>
      <c r="AD3" s="306">
        <v>25</v>
      </c>
      <c r="AE3" s="306">
        <v>26</v>
      </c>
      <c r="AF3" s="306">
        <v>27</v>
      </c>
      <c r="AG3" s="306">
        <v>28</v>
      </c>
      <c r="AH3" s="306">
        <v>29</v>
      </c>
      <c r="AI3" s="306">
        <v>30</v>
      </c>
      <c r="AJ3" s="306">
        <v>31</v>
      </c>
      <c r="AK3" s="306">
        <v>32</v>
      </c>
      <c r="AL3" s="306">
        <v>33</v>
      </c>
      <c r="AM3" s="306">
        <v>34</v>
      </c>
      <c r="AN3" s="306">
        <v>35</v>
      </c>
      <c r="AO3" s="306">
        <v>36</v>
      </c>
      <c r="AP3" s="307" t="str">
        <f>Vertaling!A242</f>
        <v>Totaal</v>
      </c>
    </row>
    <row r="4" spans="1:42" ht="14.25" customHeight="1" x14ac:dyDescent="0.25">
      <c r="B4" s="308"/>
      <c r="C4" s="308"/>
      <c r="D4" s="309"/>
      <c r="E4" s="309"/>
      <c r="F4" s="309"/>
      <c r="G4" s="309"/>
      <c r="H4" s="309"/>
      <c r="I4" s="309"/>
      <c r="J4" s="309"/>
      <c r="K4" s="309"/>
      <c r="L4" s="309"/>
      <c r="M4" s="309"/>
      <c r="N4" s="309"/>
      <c r="O4" s="309"/>
      <c r="P4" s="309"/>
      <c r="Q4" s="309"/>
      <c r="R4" s="309"/>
      <c r="S4" s="309"/>
      <c r="T4" s="309"/>
      <c r="U4" s="309"/>
      <c r="V4" s="309"/>
      <c r="W4" s="309"/>
      <c r="X4" s="309"/>
      <c r="Y4" s="309"/>
      <c r="Z4" s="309"/>
      <c r="AA4" s="309"/>
      <c r="AB4" s="309"/>
      <c r="AC4" s="309"/>
      <c r="AD4" s="309"/>
      <c r="AE4" s="309"/>
      <c r="AF4" s="309"/>
      <c r="AG4" s="309"/>
      <c r="AH4" s="309"/>
      <c r="AI4" s="309"/>
      <c r="AJ4" s="309"/>
      <c r="AK4" s="309"/>
      <c r="AL4" s="309"/>
      <c r="AM4" s="309"/>
      <c r="AN4" s="309"/>
      <c r="AO4" s="309"/>
      <c r="AP4" s="309"/>
    </row>
    <row r="5" spans="1:42" ht="14.25" customHeight="1" x14ac:dyDescent="0.25">
      <c r="B5" s="310" t="str">
        <f>Vertaling!A267</f>
        <v>Opening kas/bank</v>
      </c>
      <c r="C5" s="311"/>
      <c r="D5" s="311">
        <f>C48</f>
        <v>0</v>
      </c>
      <c r="E5" s="311">
        <f t="shared" ref="E5:O5" ca="1" si="0">D48</f>
        <v>0</v>
      </c>
      <c r="F5" s="311">
        <f t="shared" ca="1" si="0"/>
        <v>0</v>
      </c>
      <c r="G5" s="311">
        <f t="shared" ca="1" si="0"/>
        <v>0</v>
      </c>
      <c r="H5" s="311">
        <f t="shared" ca="1" si="0"/>
        <v>0</v>
      </c>
      <c r="I5" s="311">
        <f t="shared" ca="1" si="0"/>
        <v>0</v>
      </c>
      <c r="J5" s="311">
        <f t="shared" ca="1" si="0"/>
        <v>0</v>
      </c>
      <c r="K5" s="311">
        <f t="shared" ca="1" si="0"/>
        <v>0</v>
      </c>
      <c r="L5" s="311">
        <f t="shared" ca="1" si="0"/>
        <v>0</v>
      </c>
      <c r="M5" s="311">
        <f t="shared" ca="1" si="0"/>
        <v>0</v>
      </c>
      <c r="N5" s="311">
        <f t="shared" ca="1" si="0"/>
        <v>0</v>
      </c>
      <c r="O5" s="311">
        <f t="shared" ca="1" si="0"/>
        <v>0</v>
      </c>
      <c r="P5" s="312"/>
      <c r="Q5" s="311">
        <f ca="1">O48</f>
        <v>0</v>
      </c>
      <c r="R5" s="311">
        <f ca="1">Q48</f>
        <v>0</v>
      </c>
      <c r="S5" s="311">
        <f t="shared" ref="S5:AB5" ca="1" si="1">R48</f>
        <v>0</v>
      </c>
      <c r="T5" s="311">
        <f t="shared" ca="1" si="1"/>
        <v>0</v>
      </c>
      <c r="U5" s="311">
        <f t="shared" ca="1" si="1"/>
        <v>0</v>
      </c>
      <c r="V5" s="311">
        <f t="shared" ca="1" si="1"/>
        <v>0</v>
      </c>
      <c r="W5" s="311">
        <f t="shared" ca="1" si="1"/>
        <v>0</v>
      </c>
      <c r="X5" s="311">
        <f t="shared" ca="1" si="1"/>
        <v>0</v>
      </c>
      <c r="Y5" s="311">
        <f t="shared" ca="1" si="1"/>
        <v>0</v>
      </c>
      <c r="Z5" s="311">
        <f t="shared" ca="1" si="1"/>
        <v>0</v>
      </c>
      <c r="AA5" s="311">
        <f t="shared" ca="1" si="1"/>
        <v>0</v>
      </c>
      <c r="AB5" s="311">
        <f t="shared" ca="1" si="1"/>
        <v>0</v>
      </c>
      <c r="AC5" s="312"/>
      <c r="AD5" s="311">
        <f ca="1">AB48</f>
        <v>0</v>
      </c>
      <c r="AE5" s="311">
        <f ca="1">AD48</f>
        <v>0</v>
      </c>
      <c r="AF5" s="311">
        <f t="shared" ref="AF5:AO5" ca="1" si="2">AE48</f>
        <v>0</v>
      </c>
      <c r="AG5" s="311">
        <f t="shared" ca="1" si="2"/>
        <v>0</v>
      </c>
      <c r="AH5" s="311">
        <f t="shared" ca="1" si="2"/>
        <v>0</v>
      </c>
      <c r="AI5" s="311">
        <f t="shared" ca="1" si="2"/>
        <v>0</v>
      </c>
      <c r="AJ5" s="311">
        <f t="shared" ca="1" si="2"/>
        <v>0</v>
      </c>
      <c r="AK5" s="311">
        <f t="shared" ca="1" si="2"/>
        <v>0</v>
      </c>
      <c r="AL5" s="311">
        <f t="shared" ca="1" si="2"/>
        <v>0</v>
      </c>
      <c r="AM5" s="311">
        <f t="shared" ca="1" si="2"/>
        <v>0</v>
      </c>
      <c r="AN5" s="311">
        <f t="shared" ca="1" si="2"/>
        <v>0</v>
      </c>
      <c r="AO5" s="311">
        <f t="shared" ca="1" si="2"/>
        <v>0</v>
      </c>
      <c r="AP5" s="312"/>
    </row>
    <row r="6" spans="1:42" ht="14.25" customHeight="1" x14ac:dyDescent="0.25">
      <c r="B6" s="313"/>
      <c r="C6" s="313"/>
      <c r="D6" s="313"/>
      <c r="E6" s="313"/>
      <c r="F6" s="313"/>
      <c r="G6" s="313"/>
      <c r="H6" s="313"/>
      <c r="I6" s="313"/>
      <c r="J6" s="313"/>
      <c r="K6" s="313"/>
      <c r="L6" s="313"/>
      <c r="M6" s="313"/>
      <c r="N6" s="313"/>
      <c r="O6" s="313"/>
      <c r="P6" s="313"/>
      <c r="Q6" s="313"/>
      <c r="R6" s="313"/>
      <c r="S6" s="313"/>
      <c r="T6" s="313"/>
      <c r="U6" s="313"/>
      <c r="V6" s="313"/>
      <c r="W6" s="313"/>
      <c r="X6" s="313"/>
      <c r="Y6" s="313"/>
      <c r="Z6" s="313"/>
      <c r="AA6" s="313"/>
      <c r="AB6" s="313"/>
      <c r="AC6" s="313"/>
      <c r="AD6" s="313"/>
      <c r="AE6" s="313"/>
      <c r="AF6" s="313"/>
      <c r="AG6" s="313"/>
      <c r="AH6" s="313"/>
      <c r="AI6" s="313"/>
      <c r="AJ6" s="313"/>
      <c r="AK6" s="313"/>
      <c r="AL6" s="313"/>
      <c r="AM6" s="313"/>
      <c r="AN6" s="313"/>
      <c r="AO6" s="313"/>
      <c r="AP6" s="313"/>
    </row>
    <row r="7" spans="1:42" ht="14.25" customHeight="1" x14ac:dyDescent="0.25">
      <c r="B7" s="314" t="str">
        <f>Vertaling!A268</f>
        <v>Ontvangsten</v>
      </c>
      <c r="C7" s="315"/>
      <c r="D7" s="315"/>
      <c r="E7" s="315"/>
      <c r="F7" s="315"/>
      <c r="G7" s="315"/>
      <c r="H7" s="315"/>
      <c r="I7" s="315"/>
      <c r="J7" s="315"/>
      <c r="K7" s="315"/>
      <c r="L7" s="315"/>
      <c r="M7" s="315"/>
      <c r="N7" s="315"/>
      <c r="O7" s="315"/>
      <c r="P7" s="316"/>
      <c r="Q7" s="315"/>
      <c r="R7" s="315"/>
      <c r="S7" s="315"/>
      <c r="T7" s="315"/>
      <c r="U7" s="315"/>
      <c r="V7" s="315"/>
      <c r="W7" s="315"/>
      <c r="X7" s="315"/>
      <c r="Y7" s="315"/>
      <c r="Z7" s="315"/>
      <c r="AA7" s="315"/>
      <c r="AB7" s="315"/>
      <c r="AC7" s="316"/>
      <c r="AD7" s="315"/>
      <c r="AE7" s="315"/>
      <c r="AF7" s="315"/>
      <c r="AG7" s="315"/>
      <c r="AH7" s="315"/>
      <c r="AI7" s="315"/>
      <c r="AJ7" s="315"/>
      <c r="AK7" s="315"/>
      <c r="AL7" s="315"/>
      <c r="AM7" s="315"/>
      <c r="AN7" s="315"/>
      <c r="AO7" s="315"/>
      <c r="AP7" s="316"/>
    </row>
    <row r="8" spans="1:42" ht="14.25" customHeight="1" x14ac:dyDescent="0.25">
      <c r="A8" s="54"/>
      <c r="B8" s="317" t="str">
        <f>Vertaling!A269</f>
        <v xml:space="preserve"> Lening Qredits</v>
      </c>
      <c r="C8" s="318">
        <f>'Qredits maandlasten'!C5-'Qredits maandlasten'!C6</f>
        <v>0</v>
      </c>
      <c r="D8" s="319"/>
      <c r="E8" s="319"/>
      <c r="F8" s="319"/>
      <c r="G8" s="319"/>
      <c r="H8" s="319"/>
      <c r="I8" s="319"/>
      <c r="J8" s="319"/>
      <c r="K8" s="319"/>
      <c r="L8" s="319"/>
      <c r="M8" s="319"/>
      <c r="N8" s="319"/>
      <c r="O8" s="319"/>
      <c r="P8" s="320">
        <f>SUM(C8:O8)</f>
        <v>0</v>
      </c>
      <c r="Q8" s="319"/>
      <c r="R8" s="319"/>
      <c r="S8" s="319"/>
      <c r="T8" s="319"/>
      <c r="U8" s="319"/>
      <c r="V8" s="319"/>
      <c r="W8" s="319"/>
      <c r="X8" s="319"/>
      <c r="Y8" s="319"/>
      <c r="Z8" s="319"/>
      <c r="AA8" s="319"/>
      <c r="AB8" s="319"/>
      <c r="AC8" s="319"/>
      <c r="AD8" s="319"/>
      <c r="AE8" s="319"/>
      <c r="AF8" s="319"/>
      <c r="AG8" s="319"/>
      <c r="AH8" s="319"/>
      <c r="AI8" s="319"/>
      <c r="AJ8" s="319"/>
      <c r="AK8" s="319"/>
      <c r="AL8" s="319"/>
      <c r="AM8" s="319"/>
      <c r="AN8" s="319"/>
      <c r="AO8" s="319"/>
      <c r="AP8" s="319"/>
    </row>
    <row r="9" spans="1:42" ht="14.25" customHeight="1" x14ac:dyDescent="0.25">
      <c r="B9" s="317" t="str">
        <f>Vertaling!A270</f>
        <v xml:space="preserve"> Eigen inbreng (spaargeld)</v>
      </c>
      <c r="C9" s="318">
        <f>VRAGENLIJST!H118</f>
        <v>0</v>
      </c>
      <c r="D9" s="319"/>
      <c r="E9" s="319"/>
      <c r="F9" s="319"/>
      <c r="G9" s="319"/>
      <c r="H9" s="319"/>
      <c r="I9" s="319"/>
      <c r="J9" s="319"/>
      <c r="K9" s="319"/>
      <c r="L9" s="319"/>
      <c r="M9" s="319"/>
      <c r="N9" s="319"/>
      <c r="O9" s="319"/>
      <c r="P9" s="320">
        <f>SUM(C9:O9)</f>
        <v>0</v>
      </c>
      <c r="Q9" s="319"/>
      <c r="R9" s="319"/>
      <c r="S9" s="319"/>
      <c r="T9" s="319"/>
      <c r="U9" s="319"/>
      <c r="V9" s="319"/>
      <c r="W9" s="319"/>
      <c r="X9" s="319"/>
      <c r="Y9" s="319"/>
      <c r="Z9" s="319"/>
      <c r="AA9" s="319"/>
      <c r="AB9" s="319"/>
      <c r="AC9" s="319"/>
      <c r="AD9" s="319"/>
      <c r="AE9" s="319"/>
      <c r="AF9" s="319"/>
      <c r="AG9" s="319"/>
      <c r="AH9" s="319"/>
      <c r="AI9" s="319"/>
      <c r="AJ9" s="319"/>
      <c r="AK9" s="319"/>
      <c r="AL9" s="319"/>
      <c r="AM9" s="319"/>
      <c r="AN9" s="319"/>
      <c r="AO9" s="319"/>
      <c r="AP9" s="319"/>
    </row>
    <row r="10" spans="1:42" ht="14.25" customHeight="1" x14ac:dyDescent="0.25">
      <c r="B10" s="317" t="str">
        <f>Vertaling!A271</f>
        <v xml:space="preserve"> Eigen inbreng (leningen familie/vrienden)</v>
      </c>
      <c r="C10" s="318">
        <f>VRAGENLIJST!$H$120+VRAGENLIJST!$H$128</f>
        <v>0</v>
      </c>
      <c r="D10" s="319"/>
      <c r="E10" s="319"/>
      <c r="F10" s="319"/>
      <c r="G10" s="319"/>
      <c r="H10" s="319"/>
      <c r="I10" s="319"/>
      <c r="J10" s="319"/>
      <c r="K10" s="319"/>
      <c r="L10" s="319"/>
      <c r="M10" s="319"/>
      <c r="N10" s="319"/>
      <c r="O10" s="319"/>
      <c r="P10" s="320">
        <f>SUM(C10:O10)</f>
        <v>0</v>
      </c>
      <c r="Q10" s="319"/>
      <c r="R10" s="319"/>
      <c r="S10" s="319"/>
      <c r="T10" s="319"/>
      <c r="U10" s="319"/>
      <c r="V10" s="319"/>
      <c r="W10" s="319"/>
      <c r="X10" s="319"/>
      <c r="Y10" s="319"/>
      <c r="Z10" s="319"/>
      <c r="AA10" s="319"/>
      <c r="AB10" s="319"/>
      <c r="AC10" s="319"/>
      <c r="AD10" s="319"/>
      <c r="AE10" s="319"/>
      <c r="AF10" s="319"/>
      <c r="AG10" s="319"/>
      <c r="AH10" s="319"/>
      <c r="AI10" s="319"/>
      <c r="AJ10" s="319"/>
      <c r="AK10" s="319"/>
      <c r="AL10" s="319"/>
      <c r="AM10" s="319"/>
      <c r="AN10" s="319"/>
      <c r="AO10" s="319"/>
      <c r="AP10" s="319"/>
    </row>
    <row r="11" spans="1:42" ht="14.25" customHeight="1" x14ac:dyDescent="0.25">
      <c r="B11" s="317" t="str">
        <f>Vertaling!A272</f>
        <v xml:space="preserve"> Omzet product 1 (excl. btw)</v>
      </c>
      <c r="C11" s="319"/>
      <c r="D11" s="318">
        <f>IF(VRAGENLIJST!$D$251="",0,IF(OR(VRAGENLIJST!$D$251=dropdowns!$B$72,VRAGENLIJST!$D$251=dropdowns!$C$72,VRAGENLIJST!$D$251=dropdowns!$D$72,VRAGENLIJST!$D$251=dropdowns!$E$72),VRAGENLIJST!$D$255,IF(OR(VRAGENLIJST!$D$251=dropdowns!$B$73,VRAGENLIJST!$D$251=dropdowns!$C$73,VRAGENLIJST!$D$251=dropdowns!$D$73,VRAGENLIJST!$D$251=dropdowns!$E$73),VRAGENLIJST!$D$255*0.5,0)))</f>
        <v>0</v>
      </c>
      <c r="E11" s="318">
        <f ca="1">IF(VRAGENLIJST!$D$251="",0,IF(OR(VRAGENLIJST!$D$251=dropdowns!$B$72,VRAGENLIJST!$D$251=dropdowns!$C$72,VRAGENLIJST!$D$251=dropdowns!$D$72,VRAGENLIJST!$D$251=dropdowns!$E$72),OFFSET(VRAGENLIJST!$D$255,(COLUMN(E11)-COLUMN($D$11))*2,0),IF(OR(VRAGENLIJST!$D$251=dropdowns!$B$73,VRAGENLIJST!$D$251=dropdowns!$C$73,VRAGENLIJST!$D$251=dropdowns!$D$73,VRAGENLIJST!$D$251=dropdowns!$E$73),VRAGENLIJST!$D$255*0.5+(OFFSET(VRAGENLIJST!$D$255,(COLUMN(E11)-COLUMN($D$11))*2,0))*0.5,IF(OR(VRAGENLIJST!$D$251=dropdowns!$B$74,VRAGENLIJST!$D$251=dropdowns!$C$74,VRAGENLIJST!$D$251=dropdowns!$D$74,VRAGENLIJST!$D$251=dropdowns!$E$74),VRAGENLIJST!$D$255,0))))</f>
        <v>0</v>
      </c>
      <c r="F11" s="318">
        <f ca="1">IF(VRAGENLIJST!$D$251="",0,IF(OR(VRAGENLIJST!$D$251=dropdowns!$B$72,VRAGENLIJST!$D$251=dropdowns!$C$72, VRAGENLIJST!$D$251=dropdowns!$D$72,VRAGENLIJST!$D$251=dropdowns!$E$72),OFFSET(VRAGENLIJST!$D$255,(COLUMN(F11)-COLUMN($D$11))*2,0),IF(OR(VRAGENLIJST!$D$251=dropdowns!$B$73,VRAGENLIJST!$D$251=dropdowns!$C$73,VRAGENLIJST!$D$251=dropdowns!$D$73,VRAGENLIJST!$D$251=dropdowns!$E$73),OFFSET(VRAGENLIJST!$D$255,Liquiditeit!F3*2-4,0)*0.5+(OFFSET(VRAGENLIJST!$D$255,(COLUMN(F11)-COLUMN($D$11))*2,0))*0.5,IF(OR(VRAGENLIJST!$D$251=dropdowns!$B$74,VRAGENLIJST!$D$251=dropdowns!$C$74,VRAGENLIJST!$D$251=dropdowns!$D$74,VRAGENLIJST!$D$251=dropdowns!$E$74),OFFSET(VRAGENLIJST!$D$255,Liquiditeit!F3*2-4,0),IF(OR(VRAGENLIJST!$D$251=dropdowns!$B$75,VRAGENLIJST!$D$251=dropdowns!$C$75,VRAGENLIJST!$D$251=dropdowns!$D$75,VRAGENLIJST!$D$251=dropdowns!$E$75),VRAGENLIJST!$D$255,0)))))</f>
        <v>0</v>
      </c>
      <c r="G11" s="318">
        <f ca="1">IF(VRAGENLIJST!$D$251="",0,IF(OR(VRAGENLIJST!$D$251=dropdowns!$B$72,VRAGENLIJST!$D$251=dropdowns!$C$72, VRAGENLIJST!$D$251=dropdowns!$D$72,VRAGENLIJST!$D$251=dropdowns!$E$72),OFFSET(VRAGENLIJST!$D$255,(COLUMN(G11)-COLUMN($D$11))*2,0),IF(OR(VRAGENLIJST!$D$251=dropdowns!$B$73,VRAGENLIJST!$D$251=dropdowns!$C$73,VRAGENLIJST!$D$251=dropdowns!$D$73,VRAGENLIJST!$D$251=dropdowns!$E$73),OFFSET(VRAGENLIJST!$D$255,Liquiditeit!G3*2-4,0)*0.5+(OFFSET(VRAGENLIJST!$D$255,(COLUMN(G11)-COLUMN($D$11))*2,0))*0.5,IF(OR(VRAGENLIJST!$D$251=dropdowns!$B$74,VRAGENLIJST!$D$251=dropdowns!$C$74,VRAGENLIJST!$D$251=dropdowns!$D$74,VRAGENLIJST!$D$251=dropdowns!$E$74),OFFSET(VRAGENLIJST!$D$255,Liquiditeit!G3*2-4,0),IF(OR(VRAGENLIJST!$D$251=dropdowns!$B$75,VRAGENLIJST!$D$251=dropdowns!$C$75,VRAGENLIJST!$D$251=dropdowns!$D$75,VRAGENLIJST!$D$251=dropdowns!$E$75),OFFSET(VRAGENLIJST!$D$255,Liquiditeit!G3*2-6,0),IF(OR(VRAGENLIJST!$D$251=dropdowns!$B$76,VRAGENLIJST!$D$251=dropdowns!$C$76,VRAGENLIJST!$D$251=dropdowns!$D$76,VRAGENLIJST!$D$251=dropdowns!$E$76),VRAGENLIJST!$D$255,0))))))</f>
        <v>0</v>
      </c>
      <c r="H11" s="318">
        <f ca="1">IF(VRAGENLIJST!$D$251="",0,IF(OR(VRAGENLIJST!$D$251=dropdowns!$B$72,VRAGENLIJST!$D$251=dropdowns!$C$72, VRAGENLIJST!$D$251=dropdowns!$D$72,VRAGENLIJST!$D$251=dropdowns!$E$72),OFFSET(VRAGENLIJST!$D$255,(COLUMN(H11)-COLUMN($D$11))*2,0),IF(OR(VRAGENLIJST!$D$251=dropdowns!$B$73,VRAGENLIJST!$D$251=dropdowns!$C$73,VRAGENLIJST!$D$251=dropdowns!$D$73,VRAGENLIJST!$D$251=dropdowns!$E$73),OFFSET(VRAGENLIJST!$D$255,Liquiditeit!H3*2-4,0)*0.5+(OFFSET(VRAGENLIJST!$D$255,(COLUMN(H11)-COLUMN($D$11))*2,0))*0.5,IF(OR(VRAGENLIJST!$D$251=dropdowns!$B$74,VRAGENLIJST!$D$251=dropdowns!$C$74,VRAGENLIJST!$D$251=dropdowns!$D$74,VRAGENLIJST!$D$251=dropdowns!$E$74),OFFSET(VRAGENLIJST!$D$255,Liquiditeit!H3*2-4,0),IF(OR(VRAGENLIJST!$D$251=dropdowns!$B$75,VRAGENLIJST!$D$251=dropdowns!$C$75,VRAGENLIJST!$D$251=dropdowns!$D$75,VRAGENLIJST!$D$251=dropdowns!$E$75),OFFSET(VRAGENLIJST!$D$255,Liquiditeit!H3*2-6,0),IF(OR(VRAGENLIJST!$D$251=dropdowns!$B$76,VRAGENLIJST!$D$251=dropdowns!$C$76,VRAGENLIJST!$D$251=dropdowns!$D$76,VRAGENLIJST!$D$251=dropdowns!$E$76),OFFSET(VRAGENLIJST!$D$255,Liquiditeit!H3*2-8,0),0))))))</f>
        <v>0</v>
      </c>
      <c r="I11" s="318">
        <f ca="1">IF(VRAGENLIJST!$D$251="",0,IF(OR(VRAGENLIJST!$D$251=dropdowns!$B$72,VRAGENLIJST!$D$251=dropdowns!$C$72, VRAGENLIJST!$D$251=dropdowns!$D$72,VRAGENLIJST!$D$251=dropdowns!$E$72),OFFSET(VRAGENLIJST!$D$255,(COLUMN(I11)-COLUMN($D$11))*2,0),IF(OR(VRAGENLIJST!$D$251=dropdowns!$B$73,VRAGENLIJST!$D$251=dropdowns!$C$73,VRAGENLIJST!$D$251=dropdowns!$D$73,VRAGENLIJST!$D$251=dropdowns!$E$73),OFFSET(VRAGENLIJST!$D$255,Liquiditeit!I3*2-4,0)*0.5+(OFFSET(VRAGENLIJST!$D$255,(COLUMN(I11)-COLUMN($D$11))*2,0))*0.5,IF(OR(VRAGENLIJST!$D$251=dropdowns!$B$74,VRAGENLIJST!$D$251=dropdowns!$C$74,VRAGENLIJST!$D$251=dropdowns!$D$74,VRAGENLIJST!$D$251=dropdowns!$E$74),OFFSET(VRAGENLIJST!$D$255,Liquiditeit!I3*2-4,0),IF(OR(VRAGENLIJST!$D$251=dropdowns!$B$75,VRAGENLIJST!$D$251=dropdowns!$C$75,VRAGENLIJST!$D$251=dropdowns!$D$75,VRAGENLIJST!$D$251=dropdowns!$E$75),OFFSET(VRAGENLIJST!$D$255,Liquiditeit!I3*2-6,0),IF(OR(VRAGENLIJST!$D$251=dropdowns!$B$76,VRAGENLIJST!$D$251=dropdowns!$C$76,VRAGENLIJST!$D$251=dropdowns!$D$76,VRAGENLIJST!$D$251=dropdowns!$E$76),OFFSET(VRAGENLIJST!$D$255,Liquiditeit!I3*2-8,0),0))))))</f>
        <v>0</v>
      </c>
      <c r="J11" s="318">
        <f ca="1">IF(VRAGENLIJST!$D$251="",0,IF(OR(VRAGENLIJST!$D$251=dropdowns!$B$72,VRAGENLIJST!$D$251=dropdowns!$C$72, VRAGENLIJST!$D$251=dropdowns!$D$72,VRAGENLIJST!$D$251=dropdowns!$E$72),OFFSET(VRAGENLIJST!$D$255,(COLUMN(J11)-COLUMN($D$11))*2,0),IF(OR(VRAGENLIJST!$D$251=dropdowns!$B$73,VRAGENLIJST!$D$251=dropdowns!$C$73,VRAGENLIJST!$D$251=dropdowns!$D$73,VRAGENLIJST!$D$251=dropdowns!$E$73),OFFSET(VRAGENLIJST!$D$255,Liquiditeit!J3*2-4,0)*0.5+(OFFSET(VRAGENLIJST!$D$255,(COLUMN(J11)-COLUMN($D$11))*2,0))*0.5,IF(OR(VRAGENLIJST!$D$251=dropdowns!$B$74,VRAGENLIJST!$D$251=dropdowns!$C$74,VRAGENLIJST!$D$251=dropdowns!$D$74,VRAGENLIJST!$D$251=dropdowns!$E$74),OFFSET(VRAGENLIJST!$D$255,Liquiditeit!J3*2-4,0),IF(OR(VRAGENLIJST!$D$251=dropdowns!$B$75,VRAGENLIJST!$D$251=dropdowns!$C$75,VRAGENLIJST!$D$251=dropdowns!$D$75,VRAGENLIJST!$D$251=dropdowns!$E$75),OFFSET(VRAGENLIJST!$D$255,Liquiditeit!J3*2-6,0),IF(OR(VRAGENLIJST!$D$251=dropdowns!$B$76,VRAGENLIJST!$D$251=dropdowns!$C$76,VRAGENLIJST!$D$251=dropdowns!$D$76,VRAGENLIJST!$D$251=dropdowns!$E$76),OFFSET(VRAGENLIJST!$D$255,Liquiditeit!J3*2-8,0),0))))))</f>
        <v>0</v>
      </c>
      <c r="K11" s="318">
        <f ca="1">IF(VRAGENLIJST!$D$251="",0,IF(OR(VRAGENLIJST!$D$251=dropdowns!$B$72,VRAGENLIJST!$D$251=dropdowns!$C$72, VRAGENLIJST!$D$251=dropdowns!$D$72,VRAGENLIJST!$D$251=dropdowns!$E$72),OFFSET(VRAGENLIJST!$D$255,(COLUMN(K11)-COLUMN($D$11))*2,0),IF(OR(VRAGENLIJST!$D$251=dropdowns!$B$73,VRAGENLIJST!$D$251=dropdowns!$C$73,VRAGENLIJST!$D$251=dropdowns!$D$73,VRAGENLIJST!$D$251=dropdowns!$E$73),OFFSET(VRAGENLIJST!$D$255,Liquiditeit!K3*2-4,0)*0.5+(OFFSET(VRAGENLIJST!$D$255,(COLUMN(K11)-COLUMN($D$11))*2,0))*0.5,IF(OR(VRAGENLIJST!$D$251=dropdowns!$B$74,VRAGENLIJST!$D$251=dropdowns!$C$74,VRAGENLIJST!$D$251=dropdowns!$D$74,VRAGENLIJST!$D$251=dropdowns!$E$74),OFFSET(VRAGENLIJST!$D$255,Liquiditeit!K3*2-4,0),IF(OR(VRAGENLIJST!$D$251=dropdowns!$B$75,VRAGENLIJST!$D$251=dropdowns!$C$75,VRAGENLIJST!$D$251=dropdowns!$D$75,VRAGENLIJST!$D$251=dropdowns!$E$75),OFFSET(VRAGENLIJST!$D$255,Liquiditeit!K3*2-6,0),IF(OR(VRAGENLIJST!$D$251=dropdowns!$B$76,VRAGENLIJST!$D$251=dropdowns!$C$76,VRAGENLIJST!$D$251=dropdowns!$D$76,VRAGENLIJST!$D$251=dropdowns!$E$76),OFFSET(VRAGENLIJST!$D$255,Liquiditeit!K3*2-8,0),0))))))</f>
        <v>0</v>
      </c>
      <c r="L11" s="318">
        <f ca="1">IF(VRAGENLIJST!$D$251="",0,IF(OR(VRAGENLIJST!$D$251=dropdowns!$B$72,VRAGENLIJST!$D$251=dropdowns!$C$72, VRAGENLIJST!$D$251=dropdowns!$D$72,VRAGENLIJST!$D$251=dropdowns!$E$72),OFFSET(VRAGENLIJST!$D$255,(COLUMN(L11)-COLUMN($D$11))*2,0),IF(OR(VRAGENLIJST!$D$251=dropdowns!$B$73,VRAGENLIJST!$D$251=dropdowns!$C$73,VRAGENLIJST!$D$251=dropdowns!$D$73,VRAGENLIJST!$D$251=dropdowns!$E$73),OFFSET(VRAGENLIJST!$D$255,Liquiditeit!L3*2-4,0)*0.5+(OFFSET(VRAGENLIJST!$D$255,(COLUMN(L11)-COLUMN($D$11))*2,0))*0.5,IF(OR(VRAGENLIJST!$D$251=dropdowns!$B$74,VRAGENLIJST!$D$251=dropdowns!$C$74,VRAGENLIJST!$D$251=dropdowns!$D$74,VRAGENLIJST!$D$251=dropdowns!$E$74),OFFSET(VRAGENLIJST!$D$255,Liquiditeit!L3*2-4,0),IF(OR(VRAGENLIJST!$D$251=dropdowns!$B$75,VRAGENLIJST!$D$251=dropdowns!$C$75,VRAGENLIJST!$D$251=dropdowns!$D$75,VRAGENLIJST!$D$251=dropdowns!$E$75),OFFSET(VRAGENLIJST!$D$255,Liquiditeit!L3*2-6,0),IF(OR(VRAGENLIJST!$D$251=dropdowns!$B$76,VRAGENLIJST!$D$251=dropdowns!$C$76,VRAGENLIJST!$D$251=dropdowns!$D$76,VRAGENLIJST!$D$251=dropdowns!$E$76),OFFSET(VRAGENLIJST!$D$255,Liquiditeit!L3*2-8,0),0))))))</f>
        <v>0</v>
      </c>
      <c r="M11" s="318">
        <f ca="1">IF(VRAGENLIJST!$D$251="",0,IF(OR(VRAGENLIJST!$D$251=dropdowns!$B$72,VRAGENLIJST!$D$251=dropdowns!$C$72, VRAGENLIJST!$D$251=dropdowns!$D$72,VRAGENLIJST!$D$251=dropdowns!$E$72),OFFSET(VRAGENLIJST!$D$255,(COLUMN(M11)-COLUMN($D$11))*2,0),IF(OR(VRAGENLIJST!$D$251=dropdowns!$B$73,VRAGENLIJST!$D$251=dropdowns!$C$73,VRAGENLIJST!$D$251=dropdowns!$D$73,VRAGENLIJST!$D$251=dropdowns!$E$73),OFFSET(VRAGENLIJST!$D$255,Liquiditeit!M3*2-4,0)*0.5+(OFFSET(VRAGENLIJST!$D$255,(COLUMN(M11)-COLUMN($D$11))*2,0))*0.5,IF(OR(VRAGENLIJST!$D$251=dropdowns!$B$74,VRAGENLIJST!$D$251=dropdowns!$C$74,VRAGENLIJST!$D$251=dropdowns!$D$74,VRAGENLIJST!$D$251=dropdowns!$E$74),OFFSET(VRAGENLIJST!$D$255,Liquiditeit!M3*2-4,0),IF(OR(VRAGENLIJST!$D$251=dropdowns!$B$75,VRAGENLIJST!$D$251=dropdowns!$C$75,VRAGENLIJST!$D$251=dropdowns!$D$75,VRAGENLIJST!$D$251=dropdowns!$E$75),OFFSET(VRAGENLIJST!$D$255,Liquiditeit!M3*2-6,0),IF(OR(VRAGENLIJST!$D$251=dropdowns!$B$76,VRAGENLIJST!$D$251=dropdowns!$C$76,VRAGENLIJST!$D$251=dropdowns!$D$76,VRAGENLIJST!$D$251=dropdowns!$E$76),OFFSET(VRAGENLIJST!$D$255,Liquiditeit!M3*2-8,0),0))))))</f>
        <v>0</v>
      </c>
      <c r="N11" s="318">
        <f ca="1">IF(VRAGENLIJST!$D$251="",0,IF(OR(VRAGENLIJST!$D$251=dropdowns!$B$72,VRAGENLIJST!$D$251=dropdowns!$C$72, VRAGENLIJST!$D$251=dropdowns!$D$72,VRAGENLIJST!$D$251=dropdowns!$E$72),OFFSET(VRAGENLIJST!$D$255,(COLUMN(N11)-COLUMN($D$11))*2,0),IF(OR(VRAGENLIJST!$D$251=dropdowns!$B$73,VRAGENLIJST!$D$251=dropdowns!$C$73,VRAGENLIJST!$D$251=dropdowns!$D$73,VRAGENLIJST!$D$251=dropdowns!$E$73),OFFSET(VRAGENLIJST!$D$255,Liquiditeit!N3*2-4,0)*0.5+(OFFSET(VRAGENLIJST!$D$255,(COLUMN(N11)-COLUMN($D$11))*2,0))*0.5,IF(OR(VRAGENLIJST!$D$251=dropdowns!$B$74,VRAGENLIJST!$D$251=dropdowns!$C$74,VRAGENLIJST!$D$251=dropdowns!$D$74,VRAGENLIJST!$D$251=dropdowns!$E$74),OFFSET(VRAGENLIJST!$D$255,Liquiditeit!N3*2-4,0),IF(OR(VRAGENLIJST!$D$251=dropdowns!$B$75,VRAGENLIJST!$D$251=dropdowns!$C$75,VRAGENLIJST!$D$251=dropdowns!$D$75,VRAGENLIJST!$D$251=dropdowns!$E$75),OFFSET(VRAGENLIJST!$D$255,Liquiditeit!N3*2-6,0),IF(OR(VRAGENLIJST!$D$251=dropdowns!$B$76,VRAGENLIJST!$D$251=dropdowns!$C$76,VRAGENLIJST!$D$251=dropdowns!$D$76,VRAGENLIJST!$D$251=dropdowns!$E$76),OFFSET(VRAGENLIJST!$D$255,Liquiditeit!N3*2-8,0),0))))))</f>
        <v>0</v>
      </c>
      <c r="O11" s="318">
        <f ca="1">IF(VRAGENLIJST!$D$251="",0,IF(OR(VRAGENLIJST!$D$251=dropdowns!$B$72,VRAGENLIJST!$D$251=dropdowns!$C$72, VRAGENLIJST!$D$251=dropdowns!$D$72,VRAGENLIJST!$D$251=dropdowns!$E$72),OFFSET(VRAGENLIJST!$D$255,(COLUMN(O11)-COLUMN($D$11))*2,0),IF(OR(VRAGENLIJST!$D$251=dropdowns!$B$73,VRAGENLIJST!$D$251=dropdowns!$C$73,VRAGENLIJST!$D$251=dropdowns!$D$73,VRAGENLIJST!$D$251=dropdowns!$E$73),OFFSET(VRAGENLIJST!$D$255,Liquiditeit!O3*2-4,0)*0.5+(OFFSET(VRAGENLIJST!$D$255,(COLUMN(O11)-COLUMN($D$11))*2,0))*0.5,IF(OR(VRAGENLIJST!$D$251=dropdowns!$B$74,VRAGENLIJST!$D$251=dropdowns!$C$74,VRAGENLIJST!$D$251=dropdowns!$D$74,VRAGENLIJST!$D$251=dropdowns!$E$74),OFFSET(VRAGENLIJST!$D$255,Liquiditeit!O3*2-4,0),IF(OR(VRAGENLIJST!$D$251=dropdowns!$B$75,VRAGENLIJST!$D$251=dropdowns!$C$75,VRAGENLIJST!$D$251=dropdowns!$D$75,VRAGENLIJST!$D$251=dropdowns!$E$75),OFFSET(VRAGENLIJST!$D$255,Liquiditeit!O3*2-6,0),IF(OR(VRAGENLIJST!$D$251=dropdowns!$B$76,VRAGENLIJST!$D$251=dropdowns!$C$76,VRAGENLIJST!$D$251=dropdowns!$D$76,VRAGENLIJST!$D$251=dropdowns!$E$76),OFFSET(VRAGENLIJST!$D$255,Liquiditeit!O3*2-8,0),0))))))</f>
        <v>0</v>
      </c>
      <c r="P11" s="320">
        <f ca="1">SUM(D11:O11)</f>
        <v>0</v>
      </c>
      <c r="Q11" s="318">
        <f ca="1">IF(VRAGENLIJST!$D$251="",0,IF(OR(VRAGENLIJST!$D$251=dropdowns!$B$72,VRAGENLIJST!$D$251=dropdowns!$C$72, VRAGENLIJST!$D$251=dropdowns!$D$72,VRAGENLIJST!$D$251=dropdowns!$E$72),OFFSET(VRAGENLIJST!$D$255,(COLUMN(Q11)-COLUMN($E$11))*2,0),IF(OR(VRAGENLIJST!$D$251=dropdowns!$B$73,VRAGENLIJST!$D$251=dropdowns!$C$73,VRAGENLIJST!$D$251=dropdowns!$D$73,VRAGENLIJST!$D$251=dropdowns!$E$73),OFFSET(VRAGENLIJST!$D$255,Liquiditeit!Q3*2-4,0)*0.5+(OFFSET(VRAGENLIJST!$D$255,(COLUMN(Q11)-COLUMN($E$11))*2,0))*0.5,IF(OR(VRAGENLIJST!$D$251=dropdowns!$B$74,VRAGENLIJST!$D$251=dropdowns!$C$74,VRAGENLIJST!$D$251=dropdowns!$D$74,VRAGENLIJST!$D$251=dropdowns!$E$74),OFFSET(VRAGENLIJST!$D$255,Liquiditeit!Q3*2-4,0),IF(OR(VRAGENLIJST!$D$251=dropdowns!$B$75,VRAGENLIJST!$D$251=dropdowns!$C$75,VRAGENLIJST!$D$251=dropdowns!$D$75,VRAGENLIJST!$D$251=dropdowns!$E$75),OFFSET(VRAGENLIJST!$D$255,Liquiditeit!Q3*2-6,0),IF(OR(VRAGENLIJST!$D$251=dropdowns!$B$76,VRAGENLIJST!$D$251=dropdowns!$C$76,VRAGENLIJST!$D$251=dropdowns!$D$76,VRAGENLIJST!$D$251=dropdowns!$E$76),OFFSET(VRAGENLIJST!$D$255,Liquiditeit!Q3*2-8,0),0))))))</f>
        <v>0</v>
      </c>
      <c r="R11" s="318">
        <f ca="1">IF(VRAGENLIJST!$D$251="",0,IF(OR(VRAGENLIJST!$D$251=dropdowns!$B$72,VRAGENLIJST!$D$251=dropdowns!$C$72, VRAGENLIJST!$D$251=dropdowns!$D$72,VRAGENLIJST!$D$251=dropdowns!$E$72),OFFSET(VRAGENLIJST!$D$255,(COLUMN(R11)-COLUMN($E$11))*2,0),IF(OR(VRAGENLIJST!$D$251=dropdowns!$B$73,VRAGENLIJST!$D$251=dropdowns!$C$73,VRAGENLIJST!$D$251=dropdowns!$D$73,VRAGENLIJST!$D$251=dropdowns!$E$73),OFFSET(VRAGENLIJST!$D$255,Liquiditeit!R3*2-4,0)*0.5+(OFFSET(VRAGENLIJST!$D$255,(COLUMN(R11)-COLUMN($E$11))*2,0))*0.5,IF(OR(VRAGENLIJST!$D$251=dropdowns!$B$74,VRAGENLIJST!$D$251=dropdowns!$C$74,VRAGENLIJST!$D$251=dropdowns!$D$74,VRAGENLIJST!$D$251=dropdowns!$E$74),OFFSET(VRAGENLIJST!$D$255,Liquiditeit!R3*2-4,0),IF(OR(VRAGENLIJST!$D$251=dropdowns!$B$75,VRAGENLIJST!$D$251=dropdowns!$C$75,VRAGENLIJST!$D$251=dropdowns!$D$75,VRAGENLIJST!$D$251=dropdowns!$E$75),OFFSET(VRAGENLIJST!$D$255,Liquiditeit!R3*2-6,0),IF(OR(VRAGENLIJST!$D$251=dropdowns!$B$76,VRAGENLIJST!$D$251=dropdowns!$C$76,VRAGENLIJST!$D$251=dropdowns!$D$76,VRAGENLIJST!$D$251=dropdowns!$E$76),OFFSET(VRAGENLIJST!$D$255,Liquiditeit!R3*2-8,0),0))))))</f>
        <v>0</v>
      </c>
      <c r="S11" s="318">
        <f ca="1">IF(VRAGENLIJST!$D$251="",0,IF(OR(VRAGENLIJST!$D$251=dropdowns!$B$72,VRAGENLIJST!$D$251=dropdowns!$C$72, VRAGENLIJST!$D$251=dropdowns!$D$72,VRAGENLIJST!$D$251=dropdowns!$E$72),OFFSET(VRAGENLIJST!$D$255,(COLUMN(S11)-COLUMN($E$11))*2,0),IF(OR(VRAGENLIJST!$D$251=dropdowns!$B$73,VRAGENLIJST!$D$251=dropdowns!$C$73,VRAGENLIJST!$D$251=dropdowns!$D$73,VRAGENLIJST!$D$251=dropdowns!$E$73),OFFSET(VRAGENLIJST!$D$255,Liquiditeit!S3*2-4,0)*0.5+(OFFSET(VRAGENLIJST!$D$255,(COLUMN(S11)-COLUMN($E$11))*2,0))*0.5,IF(OR(VRAGENLIJST!$D$251=dropdowns!$B$74,VRAGENLIJST!$D$251=dropdowns!$C$74,VRAGENLIJST!$D$251=dropdowns!$D$74,VRAGENLIJST!$D$251=dropdowns!$E$74),OFFSET(VRAGENLIJST!$D$255,Liquiditeit!S3*2-4,0),IF(OR(VRAGENLIJST!$D$251=dropdowns!$B$75,VRAGENLIJST!$D$251=dropdowns!$C$75,VRAGENLIJST!$D$251=dropdowns!$D$75,VRAGENLIJST!$D$251=dropdowns!$E$75),OFFSET(VRAGENLIJST!$D$255,Liquiditeit!S3*2-6,0),IF(OR(VRAGENLIJST!$D$251=dropdowns!$B$76,VRAGENLIJST!$D$251=dropdowns!$C$76,VRAGENLIJST!$D$251=dropdowns!$D$76,VRAGENLIJST!$D$251=dropdowns!$E$76),OFFSET(VRAGENLIJST!$D$255,Liquiditeit!S3*2-8,0),0))))))</f>
        <v>0</v>
      </c>
      <c r="T11" s="318">
        <f ca="1">IF(VRAGENLIJST!$D$251="",0,IF(OR(VRAGENLIJST!$D$251=dropdowns!$B$72,VRAGENLIJST!$D$251=dropdowns!$C$72, VRAGENLIJST!$D$251=dropdowns!$D$72,VRAGENLIJST!$D$251=dropdowns!$E$72),OFFSET(VRAGENLIJST!$D$255,(COLUMN(T11)-COLUMN($E$11))*2,0),IF(OR(VRAGENLIJST!$D$251=dropdowns!$B$73,VRAGENLIJST!$D$251=dropdowns!$C$73,VRAGENLIJST!$D$251=dropdowns!$D$73,VRAGENLIJST!$D$251=dropdowns!$E$73),OFFSET(VRAGENLIJST!$D$255,Liquiditeit!T3*2-4,0)*0.5+(OFFSET(VRAGENLIJST!$D$255,(COLUMN(T11)-COLUMN($E$11))*2,0))*0.5,IF(OR(VRAGENLIJST!$D$251=dropdowns!$B$74,VRAGENLIJST!$D$251=dropdowns!$C$74,VRAGENLIJST!$D$251=dropdowns!$D$74,VRAGENLIJST!$D$251=dropdowns!$E$74),OFFSET(VRAGENLIJST!$D$255,Liquiditeit!T3*2-4,0),IF(OR(VRAGENLIJST!$D$251=dropdowns!$B$75,VRAGENLIJST!$D$251=dropdowns!$C$75,VRAGENLIJST!$D$251=dropdowns!$D$75,VRAGENLIJST!$D$251=dropdowns!$E$75),OFFSET(VRAGENLIJST!$D$255,Liquiditeit!T3*2-6,0),IF(OR(VRAGENLIJST!$D$251=dropdowns!$B$76,VRAGENLIJST!$D$251=dropdowns!$C$76,VRAGENLIJST!$D$251=dropdowns!$D$76,VRAGENLIJST!$D$251=dropdowns!$E$76),OFFSET(VRAGENLIJST!$D$255,Liquiditeit!T3*2-8,0),0))))))</f>
        <v>0</v>
      </c>
      <c r="U11" s="318">
        <f ca="1">IF(VRAGENLIJST!$D$251="",0,IF(OR(VRAGENLIJST!$D$251=dropdowns!$B$72,VRAGENLIJST!$D$251=dropdowns!$C$72, VRAGENLIJST!$D$251=dropdowns!$D$72,VRAGENLIJST!$D$251=dropdowns!$E$72),OFFSET(VRAGENLIJST!$D$255,(COLUMN(U11)-COLUMN($E$11))*2,0),IF(OR(VRAGENLIJST!$D$251=dropdowns!$B$73,VRAGENLIJST!$D$251=dropdowns!$C$73,VRAGENLIJST!$D$251=dropdowns!$D$73,VRAGENLIJST!$D$251=dropdowns!$E$73),OFFSET(VRAGENLIJST!$D$255,Liquiditeit!U3*2-4,0)*0.5+(OFFSET(VRAGENLIJST!$D$255,(COLUMN(U11)-COLUMN($E$11))*2,0))*0.5,IF(OR(VRAGENLIJST!$D$251=dropdowns!$B$74,VRAGENLIJST!$D$251=dropdowns!$C$74,VRAGENLIJST!$D$251=dropdowns!$D$74,VRAGENLIJST!$D$251=dropdowns!$E$74),OFFSET(VRAGENLIJST!$D$255,Liquiditeit!U3*2-4,0),IF(OR(VRAGENLIJST!$D$251=dropdowns!$B$75,VRAGENLIJST!$D$251=dropdowns!$C$75,VRAGENLIJST!$D$251=dropdowns!$D$75,VRAGENLIJST!$D$251=dropdowns!$E$75),OFFSET(VRAGENLIJST!$D$255,Liquiditeit!U3*2-6,0),IF(OR(VRAGENLIJST!$D$251=dropdowns!$B$76,VRAGENLIJST!$D$251=dropdowns!$C$76,VRAGENLIJST!$D$251=dropdowns!$D$76,VRAGENLIJST!$D$251=dropdowns!$E$76),OFFSET(VRAGENLIJST!$D$255,Liquiditeit!U3*2-8,0),0))))))</f>
        <v>0</v>
      </c>
      <c r="V11" s="318">
        <f ca="1">IF(VRAGENLIJST!$D$251="",0,IF(OR(VRAGENLIJST!$D$251=dropdowns!$B$72,VRAGENLIJST!$D$251=dropdowns!$C$72, VRAGENLIJST!$D$251=dropdowns!$D$72,VRAGENLIJST!$D$251=dropdowns!$E$72),OFFSET(VRAGENLIJST!$D$255,(COLUMN(V11)-COLUMN($E$11))*2,0),IF(OR(VRAGENLIJST!$D$251=dropdowns!$B$73,VRAGENLIJST!$D$251=dropdowns!$C$73,VRAGENLIJST!$D$251=dropdowns!$D$73,VRAGENLIJST!$D$251=dropdowns!$E$73),OFFSET(VRAGENLIJST!$D$255,Liquiditeit!V3*2-4,0)*0.5+(OFFSET(VRAGENLIJST!$D$255,(COLUMN(V11)-COLUMN($E$11))*2,0))*0.5,IF(OR(VRAGENLIJST!$D$251=dropdowns!$B$74,VRAGENLIJST!$D$251=dropdowns!$C$74,VRAGENLIJST!$D$251=dropdowns!$D$74,VRAGENLIJST!$D$251=dropdowns!$E$74),OFFSET(VRAGENLIJST!$D$255,Liquiditeit!V3*2-4,0),IF(OR(VRAGENLIJST!$D$251=dropdowns!$B$75,VRAGENLIJST!$D$251=dropdowns!$C$75,VRAGENLIJST!$D$251=dropdowns!$D$75,VRAGENLIJST!$D$251=dropdowns!$E$75),OFFSET(VRAGENLIJST!$D$255,Liquiditeit!V3*2-6,0),IF(OR(VRAGENLIJST!$D$251=dropdowns!$B$76,VRAGENLIJST!$D$251=dropdowns!$C$76,VRAGENLIJST!$D$251=dropdowns!$D$76,VRAGENLIJST!$D$251=dropdowns!$E$76),OFFSET(VRAGENLIJST!$D$255,Liquiditeit!V3*2-8,0),0))))))</f>
        <v>0</v>
      </c>
      <c r="W11" s="318">
        <f ca="1">IF(VRAGENLIJST!$D$251="",0,IF(OR(VRAGENLIJST!$D$251=dropdowns!$B$72,VRAGENLIJST!$D$251=dropdowns!$C$72, VRAGENLIJST!$D$251=dropdowns!$D$72,VRAGENLIJST!$D$251=dropdowns!$E$72),OFFSET(VRAGENLIJST!$D$255,(COLUMN(W11)-COLUMN($E$11))*2,0),IF(OR(VRAGENLIJST!$D$251=dropdowns!$B$73,VRAGENLIJST!$D$251=dropdowns!$C$73,VRAGENLIJST!$D$251=dropdowns!$D$73,VRAGENLIJST!$D$251=dropdowns!$E$73),OFFSET(VRAGENLIJST!$D$255,Liquiditeit!W3*2-4,0)*0.5+(OFFSET(VRAGENLIJST!$D$255,(COLUMN(W11)-COLUMN($E$11))*2,0))*0.5,IF(OR(VRAGENLIJST!$D$251=dropdowns!$B$74,VRAGENLIJST!$D$251=dropdowns!$C$74,VRAGENLIJST!$D$251=dropdowns!$D$74,VRAGENLIJST!$D$251=dropdowns!$E$74),OFFSET(VRAGENLIJST!$D$255,Liquiditeit!W3*2-4,0),IF(OR(VRAGENLIJST!$D$251=dropdowns!$B$75,VRAGENLIJST!$D$251=dropdowns!$C$75,VRAGENLIJST!$D$251=dropdowns!$D$75,VRAGENLIJST!$D$251=dropdowns!$E$75),OFFSET(VRAGENLIJST!$D$255,Liquiditeit!W3*2-6,0),IF(OR(VRAGENLIJST!$D$251=dropdowns!$B$76,VRAGENLIJST!$D$251=dropdowns!$C$76,VRAGENLIJST!$D$251=dropdowns!$D$76,VRAGENLIJST!$D$251=dropdowns!$E$76),OFFSET(VRAGENLIJST!$D$255,Liquiditeit!W3*2-8,0),0))))))</f>
        <v>0</v>
      </c>
      <c r="X11" s="318">
        <f ca="1">IF(VRAGENLIJST!$D$251="",0,IF(OR(VRAGENLIJST!$D$251=dropdowns!$B$72,VRAGENLIJST!$D$251=dropdowns!$C$72, VRAGENLIJST!$D$251=dropdowns!$D$72,VRAGENLIJST!$D$251=dropdowns!$E$72),OFFSET(VRAGENLIJST!$D$255,(COLUMN(X11)-COLUMN($E$11))*2,0),IF(OR(VRAGENLIJST!$D$251=dropdowns!$B$73,VRAGENLIJST!$D$251=dropdowns!$C$73,VRAGENLIJST!$D$251=dropdowns!$D$73,VRAGENLIJST!$D$251=dropdowns!$E$73),OFFSET(VRAGENLIJST!$D$255,Liquiditeit!X3*2-4,0)*0.5+(OFFSET(VRAGENLIJST!$D$255,(COLUMN(X11)-COLUMN($E$11))*2,0))*0.5,IF(OR(VRAGENLIJST!$D$251=dropdowns!$B$74,VRAGENLIJST!$D$251=dropdowns!$C$74,VRAGENLIJST!$D$251=dropdowns!$D$74,VRAGENLIJST!$D$251=dropdowns!$E$74),OFFSET(VRAGENLIJST!$D$255,Liquiditeit!X3*2-4,0),IF(OR(VRAGENLIJST!$D$251=dropdowns!$B$75,VRAGENLIJST!$D$251=dropdowns!$C$75,VRAGENLIJST!$D$251=dropdowns!$D$75,VRAGENLIJST!$D$251=dropdowns!$E$75),OFFSET(VRAGENLIJST!$D$255,Liquiditeit!X3*2-6,0),IF(OR(VRAGENLIJST!$D$251=dropdowns!$B$76,VRAGENLIJST!$D$251=dropdowns!$C$76,VRAGENLIJST!$D$251=dropdowns!$D$76,VRAGENLIJST!$D$251=dropdowns!$E$76),OFFSET(VRAGENLIJST!$D$255,Liquiditeit!X3*2-8,0),0))))))</f>
        <v>0</v>
      </c>
      <c r="Y11" s="318">
        <f ca="1">IF(VRAGENLIJST!$D$251="",0,IF(OR(VRAGENLIJST!$D$251=dropdowns!$B$72,VRAGENLIJST!$D$251=dropdowns!$C$72, VRAGENLIJST!$D$251=dropdowns!$D$72,VRAGENLIJST!$D$251=dropdowns!$E$72),OFFSET(VRAGENLIJST!$D$255,(COLUMN(Y11)-COLUMN($E$11))*2,0),IF(OR(VRAGENLIJST!$D$251=dropdowns!$B$73,VRAGENLIJST!$D$251=dropdowns!$C$73,VRAGENLIJST!$D$251=dropdowns!$D$73,VRAGENLIJST!$D$251=dropdowns!$E$73),OFFSET(VRAGENLIJST!$D$255,Liquiditeit!Y3*2-4,0)*0.5+(OFFSET(VRAGENLIJST!$D$255,(COLUMN(Y11)-COLUMN($E$11))*2,0))*0.5,IF(OR(VRAGENLIJST!$D$251=dropdowns!$B$74,VRAGENLIJST!$D$251=dropdowns!$C$74,VRAGENLIJST!$D$251=dropdowns!$D$74,VRAGENLIJST!$D$251=dropdowns!$E$74),OFFSET(VRAGENLIJST!$D$255,Liquiditeit!Y3*2-4,0),IF(OR(VRAGENLIJST!$D$251=dropdowns!$B$75,VRAGENLIJST!$D$251=dropdowns!$C$75,VRAGENLIJST!$D$251=dropdowns!$D$75,VRAGENLIJST!$D$251=dropdowns!$E$75),OFFSET(VRAGENLIJST!$D$255,Liquiditeit!Y3*2-6,0),IF(OR(VRAGENLIJST!$D$251=dropdowns!$B$76,VRAGENLIJST!$D$251=dropdowns!$C$76,VRAGENLIJST!$D$251=dropdowns!$D$76,VRAGENLIJST!$D$251=dropdowns!$E$76),OFFSET(VRAGENLIJST!$D$255,Liquiditeit!Y3*2-8,0),0))))))</f>
        <v>0</v>
      </c>
      <c r="Z11" s="318">
        <f ca="1">IF(VRAGENLIJST!$D$251="",0,IF(OR(VRAGENLIJST!$D$251=dropdowns!$B$72,VRAGENLIJST!$D$251=dropdowns!$C$72, VRAGENLIJST!$D$251=dropdowns!$D$72,VRAGENLIJST!$D$251=dropdowns!$E$72),OFFSET(VRAGENLIJST!$D$255,(COLUMN(Z11)-COLUMN($E$11))*2,0),IF(OR(VRAGENLIJST!$D$251=dropdowns!$B$73,VRAGENLIJST!$D$251=dropdowns!$C$73,VRAGENLIJST!$D$251=dropdowns!$D$73,VRAGENLIJST!$D$251=dropdowns!$E$73),OFFSET(VRAGENLIJST!$D$255,Liquiditeit!Z3*2-4,0)*0.5+(OFFSET(VRAGENLIJST!$D$255,(COLUMN(Z11)-COLUMN($E$11))*2,0))*0.5,IF(OR(VRAGENLIJST!$D$251=dropdowns!$B$74,VRAGENLIJST!$D$251=dropdowns!$C$74,VRAGENLIJST!$D$251=dropdowns!$D$74,VRAGENLIJST!$D$251=dropdowns!$E$74),OFFSET(VRAGENLIJST!$D$255,Liquiditeit!Z3*2-4,0),IF(OR(VRAGENLIJST!$D$251=dropdowns!$B$75,VRAGENLIJST!$D$251=dropdowns!$C$75,VRAGENLIJST!$D$251=dropdowns!$D$75,VRAGENLIJST!$D$251=dropdowns!$E$75),OFFSET(VRAGENLIJST!$D$255,Liquiditeit!Z3*2-6,0),IF(OR(VRAGENLIJST!$D$251=dropdowns!$B$76,VRAGENLIJST!$D$251=dropdowns!$C$76,VRAGENLIJST!$D$251=dropdowns!$D$76,VRAGENLIJST!$D$251=dropdowns!$E$76),OFFSET(VRAGENLIJST!$D$255,Liquiditeit!Z3*2-8,0),0))))))</f>
        <v>0</v>
      </c>
      <c r="AA11" s="318">
        <f ca="1">IF(VRAGENLIJST!$D$251="",0,IF(OR(VRAGENLIJST!$D$251=dropdowns!$B$72,VRAGENLIJST!$D$251=dropdowns!$C$72, VRAGENLIJST!$D$251=dropdowns!$D$72,VRAGENLIJST!$D$251=dropdowns!$E$72),OFFSET(VRAGENLIJST!$D$255,(COLUMN(AA11)-COLUMN($E$11))*2,0),IF(OR(VRAGENLIJST!$D$251=dropdowns!$B$73,VRAGENLIJST!$D$251=dropdowns!$C$73,VRAGENLIJST!$D$251=dropdowns!$D$73,VRAGENLIJST!$D$251=dropdowns!$E$73),OFFSET(VRAGENLIJST!$D$255,Liquiditeit!AA3*2-4,0)*0.5+(OFFSET(VRAGENLIJST!$D$255,(COLUMN(AA11)-COLUMN($E$11))*2,0))*0.5,IF(OR(VRAGENLIJST!$D$251=dropdowns!$B$74,VRAGENLIJST!$D$251=dropdowns!$C$74,VRAGENLIJST!$D$251=dropdowns!$D$74,VRAGENLIJST!$D$251=dropdowns!$E$74),OFFSET(VRAGENLIJST!$D$255,Liquiditeit!AA3*2-4,0),IF(OR(VRAGENLIJST!$D$251=dropdowns!$B$75,VRAGENLIJST!$D$251=dropdowns!$C$75,VRAGENLIJST!$D$251=dropdowns!$D$75,VRAGENLIJST!$D$251=dropdowns!$E$75),OFFSET(VRAGENLIJST!$D$255,Liquiditeit!AA3*2-6,0),IF(OR(VRAGENLIJST!$D$251=dropdowns!$B$76,VRAGENLIJST!$D$251=dropdowns!$C$76,VRAGENLIJST!$D$251=dropdowns!$D$76,VRAGENLIJST!$D$251=dropdowns!$E$76),OFFSET(VRAGENLIJST!$D$255,Liquiditeit!AA3*2-8,0),0))))))</f>
        <v>0</v>
      </c>
      <c r="AB11" s="318">
        <f ca="1">IF(VRAGENLIJST!$D$251="",0,IF(OR(VRAGENLIJST!$D$251=dropdowns!$B$72,VRAGENLIJST!$D$251=dropdowns!$C$72, VRAGENLIJST!$D$251=dropdowns!$D$72,VRAGENLIJST!$D$251=dropdowns!$E$72),OFFSET(VRAGENLIJST!$D$255,(COLUMN(AB11)-COLUMN($E$11))*2,0),IF(OR(VRAGENLIJST!$D$251=dropdowns!$B$73,VRAGENLIJST!$D$251=dropdowns!$C$73,VRAGENLIJST!$D$251=dropdowns!$D$73,VRAGENLIJST!$D$251=dropdowns!$E$73),OFFSET(VRAGENLIJST!$D$255,Liquiditeit!AB3*2-4,0)*0.5+(OFFSET(VRAGENLIJST!$D$255,(COLUMN(AB11)-COLUMN($E$11))*2,0))*0.5,IF(OR(VRAGENLIJST!$D$251=dropdowns!$B$74,VRAGENLIJST!$D$251=dropdowns!$C$74,VRAGENLIJST!$D$251=dropdowns!$D$74,VRAGENLIJST!$D$251=dropdowns!$E$74),OFFSET(VRAGENLIJST!$D$255,Liquiditeit!AB3*2-4,0),IF(OR(VRAGENLIJST!$D$251=dropdowns!$B$75,VRAGENLIJST!$D$251=dropdowns!$C$75,VRAGENLIJST!$D$251=dropdowns!$D$75,VRAGENLIJST!$D$251=dropdowns!$E$75),OFFSET(VRAGENLIJST!$D$255,Liquiditeit!AB3*2-6,0),IF(OR(VRAGENLIJST!$D$251=dropdowns!$B$76,VRAGENLIJST!$D$251=dropdowns!$C$76,VRAGENLIJST!$D$251=dropdowns!$D$76,VRAGENLIJST!$D$251=dropdowns!$E$76),OFFSET(VRAGENLIJST!$D$255,Liquiditeit!AB3*2-8,0),0))))))</f>
        <v>0</v>
      </c>
      <c r="AC11" s="320">
        <f ca="1">SUM(Q11:AB11)</f>
        <v>0</v>
      </c>
      <c r="AD11" s="318">
        <f ca="1">IF(VRAGENLIJST!$D$251="",0,IF(OR(VRAGENLIJST!$D$251=dropdowns!$B$72,VRAGENLIJST!$D$251=dropdowns!$C$72, VRAGENLIJST!$D$251=dropdowns!$D$72,VRAGENLIJST!$D$251=dropdowns!$E$72),OFFSET(VRAGENLIJST!$D$255,(COLUMN(AD11)-COLUMN($F$11))*2,0),IF(OR(VRAGENLIJST!$D$251=dropdowns!$B$73,VRAGENLIJST!$D$251=dropdowns!$C$73,VRAGENLIJST!$D$251=dropdowns!$D$73,VRAGENLIJST!$D$251=dropdowns!$E$73),OFFSET(VRAGENLIJST!$D$255,Liquiditeit!AD3*2-4,0)*0.5+(OFFSET(VRAGENLIJST!$D$255,(COLUMN(AD11)-COLUMN($F$11))*2,0))*0.5,IF(OR(VRAGENLIJST!$D$251=dropdowns!$B$74,VRAGENLIJST!$D$251=dropdowns!$C$74,VRAGENLIJST!$D$251=dropdowns!$D$74,VRAGENLIJST!$D$251=dropdowns!$E$74),OFFSET(VRAGENLIJST!$D$255,Liquiditeit!AD3*2-4,0),IF(OR(VRAGENLIJST!$D$251=dropdowns!$B$75,VRAGENLIJST!$D$251=dropdowns!$C$75,VRAGENLIJST!$D$251=dropdowns!$D$75,VRAGENLIJST!$D$251=dropdowns!$E$75),OFFSET(VRAGENLIJST!$D$255,Liquiditeit!AD3*2-6,0),IF(OR(VRAGENLIJST!$D$251=dropdowns!$B$76,VRAGENLIJST!$D$251=dropdowns!$C$76,VRAGENLIJST!$D$251=dropdowns!$D$76,VRAGENLIJST!$D$251=dropdowns!$E$76),OFFSET(VRAGENLIJST!$D$255,Liquiditeit!AD3*2-8,0),0))))))</f>
        <v>0</v>
      </c>
      <c r="AE11" s="318">
        <f ca="1">IF(VRAGENLIJST!$D$251="",0,IF(OR(VRAGENLIJST!$D$251=dropdowns!$B$72,VRAGENLIJST!$D$251=dropdowns!$C$72, VRAGENLIJST!$D$251=dropdowns!$D$72,VRAGENLIJST!$D$251=dropdowns!$E$72),OFFSET(VRAGENLIJST!$D$255,(COLUMN(AE11)-COLUMN($F$11))*2,0),IF(OR(VRAGENLIJST!$D$251=dropdowns!$B$73,VRAGENLIJST!$D$251=dropdowns!$C$73,VRAGENLIJST!$D$251=dropdowns!$D$73,VRAGENLIJST!$D$251=dropdowns!$E$73),OFFSET(VRAGENLIJST!$D$255,Liquiditeit!AE3*2-4,0)*0.5+(OFFSET(VRAGENLIJST!$D$255,(COLUMN(AE11)-COLUMN($F$11))*2,0))*0.5,IF(OR(VRAGENLIJST!$D$251=dropdowns!$B$74,VRAGENLIJST!$D$251=dropdowns!$C$74,VRAGENLIJST!$D$251=dropdowns!$D$74,VRAGENLIJST!$D$251=dropdowns!$E$74),OFFSET(VRAGENLIJST!$D$255,Liquiditeit!AE3*2-4,0),IF(OR(VRAGENLIJST!$D$251=dropdowns!$B$75,VRAGENLIJST!$D$251=dropdowns!$C$75,VRAGENLIJST!$D$251=dropdowns!$D$75,VRAGENLIJST!$D$251=dropdowns!$E$75),OFFSET(VRAGENLIJST!$D$255,Liquiditeit!AE3*2-6,0),IF(OR(VRAGENLIJST!$D$251=dropdowns!$B$76,VRAGENLIJST!$D$251=dropdowns!$C$76,VRAGENLIJST!$D$251=dropdowns!$D$76,VRAGENLIJST!$D$251=dropdowns!$E$76),OFFSET(VRAGENLIJST!$D$255,Liquiditeit!AE3*2-8,0),0))))))</f>
        <v>0</v>
      </c>
      <c r="AF11" s="318">
        <f ca="1">IF(VRAGENLIJST!$D$251="",0,IF(OR(VRAGENLIJST!$D$251=dropdowns!$B$72,VRAGENLIJST!$D$251=dropdowns!$C$72, VRAGENLIJST!$D$251=dropdowns!$D$72,VRAGENLIJST!$D$251=dropdowns!$E$72),OFFSET(VRAGENLIJST!$D$255,(COLUMN(AF11)-COLUMN($F$11))*2,0),IF(OR(VRAGENLIJST!$D$251=dropdowns!$B$73,VRAGENLIJST!$D$251=dropdowns!$C$73,VRAGENLIJST!$D$251=dropdowns!$D$73,VRAGENLIJST!$D$251=dropdowns!$E$73),OFFSET(VRAGENLIJST!$D$255,Liquiditeit!AF3*2-4,0)*0.5+(OFFSET(VRAGENLIJST!$D$255,(COLUMN(AF11)-COLUMN($F$11))*2,0))*0.5,IF(OR(VRAGENLIJST!$D$251=dropdowns!$B$74,VRAGENLIJST!$D$251=dropdowns!$C$74,VRAGENLIJST!$D$251=dropdowns!$D$74,VRAGENLIJST!$D$251=dropdowns!$E$74),OFFSET(VRAGENLIJST!$D$255,Liquiditeit!AF3*2-4,0),IF(OR(VRAGENLIJST!$D$251=dropdowns!$B$75,VRAGENLIJST!$D$251=dropdowns!$C$75,VRAGENLIJST!$D$251=dropdowns!$D$75,VRAGENLIJST!$D$251=dropdowns!$E$75),OFFSET(VRAGENLIJST!$D$255,Liquiditeit!AF3*2-6,0),IF(OR(VRAGENLIJST!$D$251=dropdowns!$B$76,VRAGENLIJST!$D$251=dropdowns!$C$76,VRAGENLIJST!$D$251=dropdowns!$D$76,VRAGENLIJST!$D$251=dropdowns!$E$76),OFFSET(VRAGENLIJST!$D$255,Liquiditeit!AF3*2-8,0),0))))))</f>
        <v>0</v>
      </c>
      <c r="AG11" s="318">
        <f ca="1">IF(VRAGENLIJST!$D$251="",0,IF(OR(VRAGENLIJST!$D$251=dropdowns!$B$72,VRAGENLIJST!$D$251=dropdowns!$C$72, VRAGENLIJST!$D$251=dropdowns!$D$72,VRAGENLIJST!$D$251=dropdowns!$E$72),OFFSET(VRAGENLIJST!$D$255,(COLUMN(AG11)-COLUMN($F$11))*2,0),IF(OR(VRAGENLIJST!$D$251=dropdowns!$B$73,VRAGENLIJST!$D$251=dropdowns!$C$73,VRAGENLIJST!$D$251=dropdowns!$D$73,VRAGENLIJST!$D$251=dropdowns!$E$73),OFFSET(VRAGENLIJST!$D$255,Liquiditeit!AG3*2-4,0)*0.5+(OFFSET(VRAGENLIJST!$D$255,(COLUMN(AG11)-COLUMN($F$11))*2,0))*0.5,IF(OR(VRAGENLIJST!$D$251=dropdowns!$B$74,VRAGENLIJST!$D$251=dropdowns!$C$74,VRAGENLIJST!$D$251=dropdowns!$D$74,VRAGENLIJST!$D$251=dropdowns!$E$74),OFFSET(VRAGENLIJST!$D$255,Liquiditeit!AG3*2-4,0),IF(OR(VRAGENLIJST!$D$251=dropdowns!$B$75,VRAGENLIJST!$D$251=dropdowns!$C$75,VRAGENLIJST!$D$251=dropdowns!$D$75,VRAGENLIJST!$D$251=dropdowns!$E$75),OFFSET(VRAGENLIJST!$D$255,Liquiditeit!AG3*2-6,0),IF(OR(VRAGENLIJST!$D$251=dropdowns!$B$76,VRAGENLIJST!$D$251=dropdowns!$C$76,VRAGENLIJST!$D$251=dropdowns!$D$76,VRAGENLIJST!$D$251=dropdowns!$E$76),OFFSET(VRAGENLIJST!$D$255,Liquiditeit!AG3*2-8,0),0))))))</f>
        <v>0</v>
      </c>
      <c r="AH11" s="318">
        <f ca="1">IF(VRAGENLIJST!$D$251="",0,IF(OR(VRAGENLIJST!$D$251=dropdowns!$B$72,VRAGENLIJST!$D$251=dropdowns!$C$72, VRAGENLIJST!$D$251=dropdowns!$D$72,VRAGENLIJST!$D$251=dropdowns!$E$72),OFFSET(VRAGENLIJST!$D$255,(COLUMN(AH11)-COLUMN($F$11))*2,0),IF(OR(VRAGENLIJST!$D$251=dropdowns!$B$73,VRAGENLIJST!$D$251=dropdowns!$C$73,VRAGENLIJST!$D$251=dropdowns!$D$73,VRAGENLIJST!$D$251=dropdowns!$E$73),OFFSET(VRAGENLIJST!$D$255,Liquiditeit!AH3*2-4,0)*0.5+(OFFSET(VRAGENLIJST!$D$255,(COLUMN(AH11)-COLUMN($F$11))*2,0))*0.5,IF(OR(VRAGENLIJST!$D$251=dropdowns!$B$74,VRAGENLIJST!$D$251=dropdowns!$C$74,VRAGENLIJST!$D$251=dropdowns!$D$74,VRAGENLIJST!$D$251=dropdowns!$E$74),OFFSET(VRAGENLIJST!$D$255,Liquiditeit!AH3*2-4,0),IF(OR(VRAGENLIJST!$D$251=dropdowns!$B$75,VRAGENLIJST!$D$251=dropdowns!$C$75,VRAGENLIJST!$D$251=dropdowns!$D$75,VRAGENLIJST!$D$251=dropdowns!$E$75),OFFSET(VRAGENLIJST!$D$255,Liquiditeit!AH3*2-6,0),IF(OR(VRAGENLIJST!$D$251=dropdowns!$B$76,VRAGENLIJST!$D$251=dropdowns!$C$76,VRAGENLIJST!$D$251=dropdowns!$D$76,VRAGENLIJST!$D$251=dropdowns!$E$76),OFFSET(VRAGENLIJST!$D$255,Liquiditeit!AH3*2-8,0),0))))))</f>
        <v>0</v>
      </c>
      <c r="AI11" s="318">
        <f ca="1">IF(VRAGENLIJST!$D$251="",0,IF(OR(VRAGENLIJST!$D$251=dropdowns!$B$72,VRAGENLIJST!$D$251=dropdowns!$C$72, VRAGENLIJST!$D$251=dropdowns!$D$72,VRAGENLIJST!$D$251=dropdowns!$E$72),OFFSET(VRAGENLIJST!$D$255,(COLUMN(AI11)-COLUMN($F$11))*2,0),IF(OR(VRAGENLIJST!$D$251=dropdowns!$B$73,VRAGENLIJST!$D$251=dropdowns!$C$73,VRAGENLIJST!$D$251=dropdowns!$D$73,VRAGENLIJST!$D$251=dropdowns!$E$73),OFFSET(VRAGENLIJST!$D$255,Liquiditeit!AI3*2-4,0)*0.5+(OFFSET(VRAGENLIJST!$D$255,(COLUMN(AI11)-COLUMN($F$11))*2,0))*0.5,IF(OR(VRAGENLIJST!$D$251=dropdowns!$B$74,VRAGENLIJST!$D$251=dropdowns!$C$74,VRAGENLIJST!$D$251=dropdowns!$D$74,VRAGENLIJST!$D$251=dropdowns!$E$74),OFFSET(VRAGENLIJST!$D$255,Liquiditeit!AI3*2-4,0),IF(OR(VRAGENLIJST!$D$251=dropdowns!$B$75,VRAGENLIJST!$D$251=dropdowns!$C$75,VRAGENLIJST!$D$251=dropdowns!$D$75,VRAGENLIJST!$D$251=dropdowns!$E$75),OFFSET(VRAGENLIJST!$D$255,Liquiditeit!AI3*2-6,0),IF(OR(VRAGENLIJST!$D$251=dropdowns!$B$76,VRAGENLIJST!$D$251=dropdowns!$C$76,VRAGENLIJST!$D$251=dropdowns!$D$76,VRAGENLIJST!$D$251=dropdowns!$E$76),OFFSET(VRAGENLIJST!$D$255,Liquiditeit!AI3*2-8,0),0))))))</f>
        <v>0</v>
      </c>
      <c r="AJ11" s="318">
        <f ca="1">IF(VRAGENLIJST!$D$251="",0,IF(OR(VRAGENLIJST!$D$251=dropdowns!$B$72,VRAGENLIJST!$D$251=dropdowns!$C$72, VRAGENLIJST!$D$251=dropdowns!$D$72,VRAGENLIJST!$D$251=dropdowns!$E$72),OFFSET(VRAGENLIJST!$D$255,(COLUMN(AJ11)-COLUMN($F$11))*2,0),IF(OR(VRAGENLIJST!$D$251=dropdowns!$B$73,VRAGENLIJST!$D$251=dropdowns!$C$73,VRAGENLIJST!$D$251=dropdowns!$D$73,VRAGENLIJST!$D$251=dropdowns!$E$73),OFFSET(VRAGENLIJST!$D$255,Liquiditeit!AJ3*2-4,0)*0.5+(OFFSET(VRAGENLIJST!$D$255,(COLUMN(AJ11)-COLUMN($F$11))*2,0))*0.5,IF(OR(VRAGENLIJST!$D$251=dropdowns!$B$74,VRAGENLIJST!$D$251=dropdowns!$C$74,VRAGENLIJST!$D$251=dropdowns!$D$74,VRAGENLIJST!$D$251=dropdowns!$E$74),OFFSET(VRAGENLIJST!$D$255,Liquiditeit!AJ3*2-4,0),IF(OR(VRAGENLIJST!$D$251=dropdowns!$B$75,VRAGENLIJST!$D$251=dropdowns!$C$75,VRAGENLIJST!$D$251=dropdowns!$D$75,VRAGENLIJST!$D$251=dropdowns!$E$75),OFFSET(VRAGENLIJST!$D$255,Liquiditeit!AJ3*2-6,0),IF(OR(VRAGENLIJST!$D$251=dropdowns!$B$76,VRAGENLIJST!$D$251=dropdowns!$C$76,VRAGENLIJST!$D$251=dropdowns!$D$76,VRAGENLIJST!$D$251=dropdowns!$E$76),OFFSET(VRAGENLIJST!$D$255,Liquiditeit!AJ3*2-8,0),0))))))</f>
        <v>0</v>
      </c>
      <c r="AK11" s="318">
        <f ca="1">IF(VRAGENLIJST!$D$251="",0,IF(OR(VRAGENLIJST!$D$251=dropdowns!$B$72,VRAGENLIJST!$D$251=dropdowns!$C$72, VRAGENLIJST!$D$251=dropdowns!$D$72,VRAGENLIJST!$D$251=dropdowns!$E$72),OFFSET(VRAGENLIJST!$D$255,(COLUMN(AK11)-COLUMN($F$11))*2,0),IF(OR(VRAGENLIJST!$D$251=dropdowns!$B$73,VRAGENLIJST!$D$251=dropdowns!$C$73,VRAGENLIJST!$D$251=dropdowns!$D$73,VRAGENLIJST!$D$251=dropdowns!$E$73),OFFSET(VRAGENLIJST!$D$255,Liquiditeit!AK3*2-4,0)*0.5+(OFFSET(VRAGENLIJST!$D$255,(COLUMN(AK11)-COLUMN($F$11))*2,0))*0.5,IF(OR(VRAGENLIJST!$D$251=dropdowns!$B$74,VRAGENLIJST!$D$251=dropdowns!$C$74,VRAGENLIJST!$D$251=dropdowns!$D$74,VRAGENLIJST!$D$251=dropdowns!$E$74),OFFSET(VRAGENLIJST!$D$255,Liquiditeit!AK3*2-4,0),IF(OR(VRAGENLIJST!$D$251=dropdowns!$B$75,VRAGENLIJST!$D$251=dropdowns!$C$75,VRAGENLIJST!$D$251=dropdowns!$D$75,VRAGENLIJST!$D$251=dropdowns!$E$75),OFFSET(VRAGENLIJST!$D$255,Liquiditeit!AK3*2-6,0),IF(OR(VRAGENLIJST!$D$251=dropdowns!$B$76,VRAGENLIJST!$D$251=dropdowns!$C$76,VRAGENLIJST!$D$251=dropdowns!$D$76,VRAGENLIJST!$D$251=dropdowns!$E$76),OFFSET(VRAGENLIJST!$D$255,Liquiditeit!AK3*2-8,0),0))))))</f>
        <v>0</v>
      </c>
      <c r="AL11" s="318">
        <f ca="1">IF(VRAGENLIJST!$D$251="",0,IF(OR(VRAGENLIJST!$D$251=dropdowns!$B$72,VRAGENLIJST!$D$251=dropdowns!$C$72, VRAGENLIJST!$D$251=dropdowns!$D$72,VRAGENLIJST!$D$251=dropdowns!$E$72),OFFSET(VRAGENLIJST!$D$255,(COLUMN(AL11)-COLUMN($F$11))*2,0),IF(OR(VRAGENLIJST!$D$251=dropdowns!$B$73,VRAGENLIJST!$D$251=dropdowns!$C$73,VRAGENLIJST!$D$251=dropdowns!$D$73,VRAGENLIJST!$D$251=dropdowns!$E$73),OFFSET(VRAGENLIJST!$D$255,Liquiditeit!AL3*2-4,0)*0.5+(OFFSET(VRAGENLIJST!$D$255,(COLUMN(AL11)-COLUMN($F$11))*2,0))*0.5,IF(OR(VRAGENLIJST!$D$251=dropdowns!$B$74,VRAGENLIJST!$D$251=dropdowns!$C$74,VRAGENLIJST!$D$251=dropdowns!$D$74,VRAGENLIJST!$D$251=dropdowns!$E$74),OFFSET(VRAGENLIJST!$D$255,Liquiditeit!AL3*2-4,0),IF(OR(VRAGENLIJST!$D$251=dropdowns!$B$75,VRAGENLIJST!$D$251=dropdowns!$C$75,VRAGENLIJST!$D$251=dropdowns!$D$75,VRAGENLIJST!$D$251=dropdowns!$E$75),OFFSET(VRAGENLIJST!$D$255,Liquiditeit!AL3*2-6,0),IF(OR(VRAGENLIJST!$D$251=dropdowns!$B$76,VRAGENLIJST!$D$251=dropdowns!$C$76,VRAGENLIJST!$D$251=dropdowns!$D$76,VRAGENLIJST!$D$251=dropdowns!$E$76),OFFSET(VRAGENLIJST!$D$255,Liquiditeit!AL3*2-8,0),0))))))</f>
        <v>0</v>
      </c>
      <c r="AM11" s="318">
        <f ca="1">IF(VRAGENLIJST!$D$251="",0,IF(OR(VRAGENLIJST!$D$251=dropdowns!$B$72,VRAGENLIJST!$D$251=dropdowns!$C$72, VRAGENLIJST!$D$251=dropdowns!$D$72,VRAGENLIJST!$D$251=dropdowns!$E$72),OFFSET(VRAGENLIJST!$D$255,(COLUMN(AM11)-COLUMN($F$11))*2,0),IF(OR(VRAGENLIJST!$D$251=dropdowns!$B$73,VRAGENLIJST!$D$251=dropdowns!$C$73,VRAGENLIJST!$D$251=dropdowns!$D$73,VRAGENLIJST!$D$251=dropdowns!$E$73),OFFSET(VRAGENLIJST!$D$255,Liquiditeit!AM3*2-4,0)*0.5+(OFFSET(VRAGENLIJST!$D$255,(COLUMN(AM11)-COLUMN($F$11))*2,0))*0.5,IF(OR(VRAGENLIJST!$D$251=dropdowns!$B$74,VRAGENLIJST!$D$251=dropdowns!$C$74,VRAGENLIJST!$D$251=dropdowns!$D$74,VRAGENLIJST!$D$251=dropdowns!$E$74),OFFSET(VRAGENLIJST!$D$255,Liquiditeit!AM3*2-4,0),IF(OR(VRAGENLIJST!$D$251=dropdowns!$B$75,VRAGENLIJST!$D$251=dropdowns!$C$75,VRAGENLIJST!$D$251=dropdowns!$D$75,VRAGENLIJST!$D$251=dropdowns!$E$75),OFFSET(VRAGENLIJST!$D$255,Liquiditeit!AM3*2-6,0),IF(OR(VRAGENLIJST!$D$251=dropdowns!$B$76,VRAGENLIJST!$D$251=dropdowns!$C$76,VRAGENLIJST!$D$251=dropdowns!$D$76,VRAGENLIJST!$D$251=dropdowns!$E$76),OFFSET(VRAGENLIJST!$D$255,Liquiditeit!AM3*2-8,0),0))))))</f>
        <v>0</v>
      </c>
      <c r="AN11" s="318">
        <f ca="1">IF(VRAGENLIJST!$D$251="",0,IF(OR(VRAGENLIJST!$D$251=dropdowns!$B$72,VRAGENLIJST!$D$251=dropdowns!$C$72, VRAGENLIJST!$D$251=dropdowns!$D$72,VRAGENLIJST!$D$251=dropdowns!$E$72),OFFSET(VRAGENLIJST!$D$255,(COLUMN(AN11)-COLUMN($F$11))*2,0),IF(OR(VRAGENLIJST!$D$251=dropdowns!$B$73,VRAGENLIJST!$D$251=dropdowns!$C$73,VRAGENLIJST!$D$251=dropdowns!$D$73,VRAGENLIJST!$D$251=dropdowns!$E$73),OFFSET(VRAGENLIJST!$D$255,Liquiditeit!AN3*2-4,0)*0.5+(OFFSET(VRAGENLIJST!$D$255,(COLUMN(AN11)-COLUMN($F$11))*2,0))*0.5,IF(OR(VRAGENLIJST!$D$251=dropdowns!$B$74,VRAGENLIJST!$D$251=dropdowns!$C$74,VRAGENLIJST!$D$251=dropdowns!$D$74,VRAGENLIJST!$D$251=dropdowns!$E$74),OFFSET(VRAGENLIJST!$D$255,Liquiditeit!AN3*2-4,0),IF(OR(VRAGENLIJST!$D$251=dropdowns!$B$75,VRAGENLIJST!$D$251=dropdowns!$C$75,VRAGENLIJST!$D$251=dropdowns!$D$75,VRAGENLIJST!$D$251=dropdowns!$E$75),OFFSET(VRAGENLIJST!$D$255,Liquiditeit!AN3*2-6,0),IF(OR(VRAGENLIJST!$D$251=dropdowns!$B$76,VRAGENLIJST!$D$251=dropdowns!$C$76,VRAGENLIJST!$D$251=dropdowns!$D$76,VRAGENLIJST!$D$251=dropdowns!$E$76),OFFSET(VRAGENLIJST!$D$255,Liquiditeit!AN3*2-8,0),0))))))</f>
        <v>0</v>
      </c>
      <c r="AO11" s="318">
        <f ca="1">IF(VRAGENLIJST!$D$251="",0,IF(OR(VRAGENLIJST!$D$251=dropdowns!$B$72,VRAGENLIJST!$D$251=dropdowns!$C$72, VRAGENLIJST!$D$251=dropdowns!$D$72,VRAGENLIJST!$D$251=dropdowns!$E$72),OFFSET(VRAGENLIJST!$D$255,(COLUMN(AO11)-COLUMN($F$11))*2,0),IF(OR(VRAGENLIJST!$D$251=dropdowns!$B$73,VRAGENLIJST!$D$251=dropdowns!$C$73,VRAGENLIJST!$D$251=dropdowns!$D$73,VRAGENLIJST!$D$251=dropdowns!$E$73),OFFSET(VRAGENLIJST!$D$255,Liquiditeit!AO3*2-4,0)*0.5+(OFFSET(VRAGENLIJST!$D$255,(COLUMN(AO11)-COLUMN($F$11))*2,0))*0.5,IF(OR(VRAGENLIJST!$D$251=dropdowns!$B$74,VRAGENLIJST!$D$251=dropdowns!$C$74,VRAGENLIJST!$D$251=dropdowns!$D$74,VRAGENLIJST!$D$251=dropdowns!$E$74),OFFSET(VRAGENLIJST!$D$255,Liquiditeit!AO3*2-4,0),IF(OR(VRAGENLIJST!$D$251=dropdowns!$B$75,VRAGENLIJST!$D$251=dropdowns!$C$75,VRAGENLIJST!$D$251=dropdowns!$D$75,VRAGENLIJST!$D$251=dropdowns!$E$75),OFFSET(VRAGENLIJST!$D$255,Liquiditeit!AO3*2-6,0),IF(OR(VRAGENLIJST!$D$251=dropdowns!$B$76,VRAGENLIJST!$D$251=dropdowns!$C$76,VRAGENLIJST!$D$251=dropdowns!$D$76,VRAGENLIJST!$D$251=dropdowns!$E$76),OFFSET(VRAGENLIJST!$D$255,Liquiditeit!AO3*2-8,0),0))))))</f>
        <v>0</v>
      </c>
      <c r="AP11" s="320">
        <f ca="1">SUM(AD11:AO11)</f>
        <v>0</v>
      </c>
    </row>
    <row r="12" spans="1:42" ht="14.25" customHeight="1" x14ac:dyDescent="0.25">
      <c r="B12" s="317" t="str">
        <f>Vertaling!A273</f>
        <v xml:space="preserve"> Omzet product 2 (excl. btw)</v>
      </c>
      <c r="C12" s="319"/>
      <c r="D12" s="318">
        <f>IF(VRAGENLIJST!$F$251="",0,IF(OR(VRAGENLIJST!$F$251=dropdowns!$B$72,VRAGENLIJST!$F$251=dropdowns!$C$72,VRAGENLIJST!$F$251=dropdowns!$D$72,VRAGENLIJST!$F$251=dropdowns!$E$72),VRAGENLIJST!$F$255,IF(OR(VRAGENLIJST!$F$251=dropdowns!$B$73,VRAGENLIJST!$F$251=dropdowns!$C$73,VRAGENLIJST!$F$251=dropdowns!$D$73,VRAGENLIJST!$F$251=dropdowns!$E$73),VRAGENLIJST!$F$255*0.5,0)))</f>
        <v>0</v>
      </c>
      <c r="E12" s="318">
        <f ca="1">IF(VRAGENLIJST!$F$251="",0,IF(OR(VRAGENLIJST!$F$251=dropdowns!$B$72,VRAGENLIJST!$F$251=dropdowns!$C$72,VRAGENLIJST!$F$251=dropdowns!$D$72,VRAGENLIJST!$F$251=dropdowns!$E$72),OFFSET(VRAGENLIJST!$F$255,(COLUMN(E12)-COLUMN($D$12))*2,0),IF(OR(VRAGENLIJST!$F$251=dropdowns!$B$73,VRAGENLIJST!$F$251=dropdowns!$C$73,VRAGENLIJST!$F$251=dropdowns!$D$73,VRAGENLIJST!$F$251=dropdowns!$E$73),VRAGENLIJST!$F$255*0.5+(OFFSET(VRAGENLIJST!$F$255,(COLUMN(E12)-COLUMN($D$12))*2,0))*0.5,IF(OR(VRAGENLIJST!$F$251=dropdowns!$B$74,VRAGENLIJST!$F$251=dropdowns!$C$74,VRAGENLIJST!$F$251=dropdowns!$D$74,VRAGENLIJST!$F$251=dropdowns!$E$74),VRAGENLIJST!$F$255,0))))</f>
        <v>0</v>
      </c>
      <c r="F12" s="318">
        <f ca="1">IF(VRAGENLIJST!$F$251="",0,IF(OR(VRAGENLIJST!$F$251=dropdowns!$B$72,VRAGENLIJST!$F$251=dropdowns!$C$72,VRAGENLIJST!$F$251=dropdowns!$D$72,VRAGENLIJST!$F$251=dropdowns!$E$72),OFFSET(VRAGENLIJST!$F$255,(COLUMN(F12)-COLUMN($D$12))*2,0),IF(OR(VRAGENLIJST!$F$251=dropdowns!$B$73,VRAGENLIJST!$F$251=dropdowns!$C$73,VRAGENLIJST!$F$251=dropdowns!$D$73,VRAGENLIJST!$F$251=dropdowns!$E$73),OFFSET(VRAGENLIJST!$F$255,Liquiditeit!F3*2-4,0)*0.5+(OFFSET(VRAGENLIJST!$F$255,(COLUMN(F12)-COLUMN($D$12))*2,0))*0.5,IF(OR(VRAGENLIJST!$F$251=dropdowns!$B$74,VRAGENLIJST!$F$251=dropdowns!$C$74,VRAGENLIJST!$F$251=dropdowns!$D$74,VRAGENLIJST!$F$251=dropdowns!$E$74),OFFSET(VRAGENLIJST!$F$255,Liquiditeit!F3*2-4,0),IF(OR(VRAGENLIJST!$F$251=dropdowns!$B$75,VRAGENLIJST!$F$251=dropdowns!$C$75,VRAGENLIJST!$F$251=dropdowns!$D$75,VRAGENLIJST!$F$251=dropdowns!$E$75),VRAGENLIJST!$F$255,0)))))</f>
        <v>0</v>
      </c>
      <c r="G12" s="318">
        <f ca="1">IF(VRAGENLIJST!$F$251="",0,IF(OR(VRAGENLIJST!$F$251=dropdowns!$B$72,VRAGENLIJST!$F$251=dropdowns!$C$72,VRAGENLIJST!$F$251=dropdowns!$D$72,VRAGENLIJST!$F$251=dropdowns!$E$72),OFFSET(VRAGENLIJST!$F$255,(COLUMN(G12)-COLUMN($D$12))*2,0),IF(OR(VRAGENLIJST!$F$251=dropdowns!$B$73,VRAGENLIJST!$F$251=dropdowns!$C$73,VRAGENLIJST!$F$251=dropdowns!$D$73,VRAGENLIJST!$F$251=dropdowns!$E$73),OFFSET(VRAGENLIJST!$F$255,Liquiditeit!G3*2-4,0)*0.5+(OFFSET(VRAGENLIJST!$F$255,(COLUMN(G12)-COLUMN($D$12))*2,0))*0.5,IF(OR(VRAGENLIJST!$F$251=dropdowns!$B$74,VRAGENLIJST!$F$251=dropdowns!$C$74,VRAGENLIJST!$F$251=dropdowns!$D$74,VRAGENLIJST!$F$251=dropdowns!$E$74),OFFSET(VRAGENLIJST!$F$255,Liquiditeit!G3*2-4,0),IF(OR(VRAGENLIJST!$F$251=dropdowns!$B$75,VRAGENLIJST!$F$251=dropdowns!$C$75,VRAGENLIJST!$F$251=dropdowns!$D$75,VRAGENLIJST!$F$251=dropdowns!$E$75),OFFSET(VRAGENLIJST!$F$255,Liquiditeit!G3*2-6,0),IF(OR(VRAGENLIJST!$F$251=dropdowns!$B$76,VRAGENLIJST!$F$251=dropdowns!$C$76,VRAGENLIJST!$F$251=dropdowns!$D$76,VRAGENLIJST!$F$251=dropdowns!$E$76),VRAGENLIJST!$F$255,0))))))</f>
        <v>0</v>
      </c>
      <c r="H12" s="318">
        <f ca="1">IF(VRAGENLIJST!$F$251="",0,IF(OR(VRAGENLIJST!$F$251=dropdowns!$B$72,VRAGENLIJST!$F$251=dropdowns!$C$72,VRAGENLIJST!$F$251=dropdowns!$D$72,VRAGENLIJST!$F$251=dropdowns!$E$72),OFFSET(VRAGENLIJST!$F$255,(COLUMN(H12)-COLUMN($D$12))*2,0),IF(OR(VRAGENLIJST!$F$251=dropdowns!$B$73,VRAGENLIJST!$F$251=dropdowns!$C$73,VRAGENLIJST!$F$251=dropdowns!$D$73,VRAGENLIJST!$F$251=dropdowns!$E$73),OFFSET(VRAGENLIJST!$F$255,Liquiditeit!H3*2-4,0)*0.5+(OFFSET(VRAGENLIJST!$F$255,(COLUMN(H12)-COLUMN($D$12))*2,0))*0.5,IF(OR(VRAGENLIJST!$F$251=dropdowns!$B$74,VRAGENLIJST!$F$251=dropdowns!$C$74,VRAGENLIJST!$F$251=dropdowns!$D$74,VRAGENLIJST!$F$251=dropdowns!$E$74),OFFSET(VRAGENLIJST!$F$255,Liquiditeit!H3*2-4,0),IF(OR(VRAGENLIJST!$F$251=dropdowns!$B$75,VRAGENLIJST!$F$251=dropdowns!$C$75,VRAGENLIJST!$F$251=dropdowns!$D$75,VRAGENLIJST!$F$251=dropdowns!$E$75),OFFSET(VRAGENLIJST!$F$255,Liquiditeit!H3*2-6,0),IF(OR(VRAGENLIJST!$F$251=dropdowns!$B$76,VRAGENLIJST!$F$251=dropdowns!$C$76,VRAGENLIJST!$F$251=dropdowns!$D$76,VRAGENLIJST!$F$251=dropdowns!$E$76),OFFSET(VRAGENLIJST!$F$255,Liquiditeit!H3*2-8,0),0))))))</f>
        <v>0</v>
      </c>
      <c r="I12" s="318">
        <f ca="1">IF(VRAGENLIJST!$F$251="",0,IF(OR(VRAGENLIJST!$F$251=dropdowns!$B$72,VRAGENLIJST!$F$251=dropdowns!$C$72,VRAGENLIJST!$F$251=dropdowns!$D$72,VRAGENLIJST!$F$251=dropdowns!$E$72),OFFSET(VRAGENLIJST!$F$255,(COLUMN(I12)-COLUMN($D$12))*2,0),IF(OR(VRAGENLIJST!$F$251=dropdowns!$B$73,VRAGENLIJST!$F$251=dropdowns!$C$73,VRAGENLIJST!$F$251=dropdowns!$D$73,VRAGENLIJST!$F$251=dropdowns!$E$73),OFFSET(VRAGENLIJST!$F$255,Liquiditeit!I3*2-4,0)*0.5+(OFFSET(VRAGENLIJST!$F$255,(COLUMN(I12)-COLUMN($D$12))*2,0))*0.5,IF(OR(VRAGENLIJST!$F$251=dropdowns!$B$74,VRAGENLIJST!$F$251=dropdowns!$C$74,VRAGENLIJST!$F$251=dropdowns!$D$74,VRAGENLIJST!$F$251=dropdowns!$E$74),OFFSET(VRAGENLIJST!$F$255,Liquiditeit!I3*2-4,0),IF(OR(VRAGENLIJST!$F$251=dropdowns!$B$75,VRAGENLIJST!$F$251=dropdowns!$C$75,VRAGENLIJST!$F$251=dropdowns!$D$75,VRAGENLIJST!$F$251=dropdowns!$E$75),OFFSET(VRAGENLIJST!$F$255,Liquiditeit!I3*2-6,0),IF(OR(VRAGENLIJST!$F$251=dropdowns!$B$76,VRAGENLIJST!$F$251=dropdowns!$C$76,VRAGENLIJST!$F$251=dropdowns!$D$76,VRAGENLIJST!$F$251=dropdowns!$E$76),OFFSET(VRAGENLIJST!$F$255,Liquiditeit!I3*2-8,0),0))))))</f>
        <v>0</v>
      </c>
      <c r="J12" s="318">
        <f ca="1">IF(VRAGENLIJST!$F$251="",0,IF(OR(VRAGENLIJST!$F$251=dropdowns!$B$72,VRAGENLIJST!$F$251=dropdowns!$C$72,VRAGENLIJST!$F$251=dropdowns!$D$72,VRAGENLIJST!$F$251=dropdowns!$E$72),OFFSET(VRAGENLIJST!$F$255,(COLUMN(J12)-COLUMN($D$12))*2,0),IF(OR(VRAGENLIJST!$F$251=dropdowns!$B$73,VRAGENLIJST!$F$251=dropdowns!$C$73,VRAGENLIJST!$F$251=dropdowns!$D$73,VRAGENLIJST!$F$251=dropdowns!$E$73),OFFSET(VRAGENLIJST!$F$255,Liquiditeit!J3*2-4,0)*0.5+(OFFSET(VRAGENLIJST!$F$255,(COLUMN(J12)-COLUMN($D$12))*2,0))*0.5,IF(OR(VRAGENLIJST!$F$251=dropdowns!$B$74,VRAGENLIJST!$F$251=dropdowns!$C$74,VRAGENLIJST!$F$251=dropdowns!$D$74,VRAGENLIJST!$F$251=dropdowns!$E$74),OFFSET(VRAGENLIJST!$F$255,Liquiditeit!J3*2-4,0),IF(OR(VRAGENLIJST!$F$251=dropdowns!$B$75,VRAGENLIJST!$F$251=dropdowns!$C$75,VRAGENLIJST!$F$251=dropdowns!$D$75,VRAGENLIJST!$F$251=dropdowns!$E$75),OFFSET(VRAGENLIJST!$F$255,Liquiditeit!J3*2-6,0),IF(OR(VRAGENLIJST!$F$251=dropdowns!$B$76,VRAGENLIJST!$F$251=dropdowns!$C$76,VRAGENLIJST!$F$251=dropdowns!$D$76,VRAGENLIJST!$F$251=dropdowns!$E$76),OFFSET(VRAGENLIJST!$F$255,Liquiditeit!J3*2-8,0),0))))))</f>
        <v>0</v>
      </c>
      <c r="K12" s="318">
        <f ca="1">IF(VRAGENLIJST!$F$251="",0,IF(OR(VRAGENLIJST!$F$251=dropdowns!$B$72,VRAGENLIJST!$F$251=dropdowns!$C$72,VRAGENLIJST!$F$251=dropdowns!$D$72,VRAGENLIJST!$F$251=dropdowns!$E$72),OFFSET(VRAGENLIJST!$F$255,(COLUMN(K12)-COLUMN($D$12))*2,0),IF(OR(VRAGENLIJST!$F$251=dropdowns!$B$73,VRAGENLIJST!$F$251=dropdowns!$C$73,VRAGENLIJST!$F$251=dropdowns!$D$73,VRAGENLIJST!$F$251=dropdowns!$E$73),OFFSET(VRAGENLIJST!$F$255,Liquiditeit!K3*2-4,0)*0.5+(OFFSET(VRAGENLIJST!$F$255,(COLUMN(K12)-COLUMN($D$12))*2,0))*0.5,IF(OR(VRAGENLIJST!$F$251=dropdowns!$B$74,VRAGENLIJST!$F$251=dropdowns!$C$74,VRAGENLIJST!$F$251=dropdowns!$D$74,VRAGENLIJST!$F$251=dropdowns!$E$74),OFFSET(VRAGENLIJST!$F$255,Liquiditeit!K3*2-4,0),IF(OR(VRAGENLIJST!$F$251=dropdowns!$B$75,VRAGENLIJST!$F$251=dropdowns!$C$75,VRAGENLIJST!$F$251=dropdowns!$D$75,VRAGENLIJST!$F$251=dropdowns!$E$75),OFFSET(VRAGENLIJST!$F$255,Liquiditeit!K3*2-6,0),IF(OR(VRAGENLIJST!$F$251=dropdowns!$B$76,VRAGENLIJST!$F$251=dropdowns!$C$76,VRAGENLIJST!$F$251=dropdowns!$D$76,VRAGENLIJST!$F$251=dropdowns!$E$76),OFFSET(VRAGENLIJST!$F$255,Liquiditeit!K3*2-8,0),0))))))</f>
        <v>0</v>
      </c>
      <c r="L12" s="318">
        <f ca="1">IF(VRAGENLIJST!$F$251="",0,IF(OR(VRAGENLIJST!$F$251=dropdowns!$B$72,VRAGENLIJST!$F$251=dropdowns!$C$72,VRAGENLIJST!$F$251=dropdowns!$D$72,VRAGENLIJST!$F$251=dropdowns!$E$72),OFFSET(VRAGENLIJST!$F$255,(COLUMN(L12)-COLUMN($D$12))*2,0),IF(OR(VRAGENLIJST!$F$251=dropdowns!$B$73,VRAGENLIJST!$F$251=dropdowns!$C$73,VRAGENLIJST!$F$251=dropdowns!$D$73,VRAGENLIJST!$F$251=dropdowns!$E$73),OFFSET(VRAGENLIJST!$F$255,Liquiditeit!L3*2-4,0)*0.5+(OFFSET(VRAGENLIJST!$F$255,(COLUMN(L12)-COLUMN($D$12))*2,0))*0.5,IF(OR(VRAGENLIJST!$F$251=dropdowns!$B$74,VRAGENLIJST!$F$251=dropdowns!$C$74,VRAGENLIJST!$F$251=dropdowns!$D$74,VRAGENLIJST!$F$251=dropdowns!$E$74),OFFSET(VRAGENLIJST!$F$255,Liquiditeit!L3*2-4,0),IF(OR(VRAGENLIJST!$F$251=dropdowns!$B$75,VRAGENLIJST!$F$251=dropdowns!$C$75,VRAGENLIJST!$F$251=dropdowns!$D$75,VRAGENLIJST!$F$251=dropdowns!$E$75),OFFSET(VRAGENLIJST!$F$255,Liquiditeit!L3*2-6,0),IF(OR(VRAGENLIJST!$F$251=dropdowns!$B$76,VRAGENLIJST!$F$251=dropdowns!$C$76,VRAGENLIJST!$F$251=dropdowns!$D$76,VRAGENLIJST!$F$251=dropdowns!$E$76),OFFSET(VRAGENLIJST!$F$255,Liquiditeit!L3*2-8,0),0))))))</f>
        <v>0</v>
      </c>
      <c r="M12" s="318">
        <f ca="1">IF(VRAGENLIJST!$F$251="",0,IF(OR(VRAGENLIJST!$F$251=dropdowns!$B$72,VRAGENLIJST!$F$251=dropdowns!$C$72,VRAGENLIJST!$F$251=dropdowns!$D$72,VRAGENLIJST!$F$251=dropdowns!$E$72),OFFSET(VRAGENLIJST!$F$255,(COLUMN(M12)-COLUMN($D$12))*2,0),IF(OR(VRAGENLIJST!$F$251=dropdowns!$B$73,VRAGENLIJST!$F$251=dropdowns!$C$73,VRAGENLIJST!$F$251=dropdowns!$D$73,VRAGENLIJST!$F$251=dropdowns!$E$73),OFFSET(VRAGENLIJST!$F$255,Liquiditeit!M3*2-4,0)*0.5+(OFFSET(VRAGENLIJST!$F$255,(COLUMN(M12)-COLUMN($D$12))*2,0))*0.5,IF(OR(VRAGENLIJST!$F$251=dropdowns!$B$74,VRAGENLIJST!$F$251=dropdowns!$C$74,VRAGENLIJST!$F$251=dropdowns!$D$74,VRAGENLIJST!$F$251=dropdowns!$E$74),OFFSET(VRAGENLIJST!$F$255,Liquiditeit!M3*2-4,0),IF(OR(VRAGENLIJST!$F$251=dropdowns!$B$75,VRAGENLIJST!$F$251=dropdowns!$C$75,VRAGENLIJST!$F$251=dropdowns!$D$75,VRAGENLIJST!$F$251=dropdowns!$E$75),OFFSET(VRAGENLIJST!$F$255,Liquiditeit!M3*2-6,0),IF(OR(VRAGENLIJST!$F$251=dropdowns!$B$76,VRAGENLIJST!$F$251=dropdowns!$C$76,VRAGENLIJST!$F$251=dropdowns!$D$76,VRAGENLIJST!$F$251=dropdowns!$E$76),OFFSET(VRAGENLIJST!$F$255,Liquiditeit!M3*2-8,0),0))))))</f>
        <v>0</v>
      </c>
      <c r="N12" s="318">
        <f ca="1">IF(VRAGENLIJST!$F$251="",0,IF(OR(VRAGENLIJST!$F$251=dropdowns!$B$72,VRAGENLIJST!$F$251=dropdowns!$C$72,VRAGENLIJST!$F$251=dropdowns!$D$72,VRAGENLIJST!$F$251=dropdowns!$E$72),OFFSET(VRAGENLIJST!$F$255,(COLUMN(N12)-COLUMN($D$12))*2,0),IF(OR(VRAGENLIJST!$F$251=dropdowns!$B$73,VRAGENLIJST!$F$251=dropdowns!$C$73,VRAGENLIJST!$F$251=dropdowns!$D$73,VRAGENLIJST!$F$251=dropdowns!$E$73),OFFSET(VRAGENLIJST!$F$255,Liquiditeit!N3*2-4,0)*0.5+(OFFSET(VRAGENLIJST!$F$255,(COLUMN(N12)-COLUMN($D$12))*2,0))*0.5,IF(OR(VRAGENLIJST!$F$251=dropdowns!$B$74,VRAGENLIJST!$F$251=dropdowns!$C$74,VRAGENLIJST!$F$251=dropdowns!$D$74,VRAGENLIJST!$F$251=dropdowns!$E$74),OFFSET(VRAGENLIJST!$F$255,Liquiditeit!N3*2-4,0),IF(OR(VRAGENLIJST!$F$251=dropdowns!$B$75,VRAGENLIJST!$F$251=dropdowns!$C$75,VRAGENLIJST!$F$251=dropdowns!$D$75,VRAGENLIJST!$F$251=dropdowns!$E$75),OFFSET(VRAGENLIJST!$F$255,Liquiditeit!N3*2-6,0),IF(OR(VRAGENLIJST!$F$251=dropdowns!$B$76,VRAGENLIJST!$F$251=dropdowns!$C$76,VRAGENLIJST!$F$251=dropdowns!$D$76,VRAGENLIJST!$F$251=dropdowns!$E$76),OFFSET(VRAGENLIJST!$F$255,Liquiditeit!N3*2-8,0),0))))))</f>
        <v>0</v>
      </c>
      <c r="O12" s="318">
        <f ca="1">IF(VRAGENLIJST!$F$251="",0,IF(OR(VRAGENLIJST!$F$251=dropdowns!$B$72,VRAGENLIJST!$F$251=dropdowns!$C$72,VRAGENLIJST!$F$251=dropdowns!$D$72,VRAGENLIJST!$F$251=dropdowns!$E$72),OFFSET(VRAGENLIJST!$F$255,(COLUMN(O12)-COLUMN($D$12))*2,0),IF(OR(VRAGENLIJST!$F$251=dropdowns!$B$73,VRAGENLIJST!$F$251=dropdowns!$C$73,VRAGENLIJST!$F$251=dropdowns!$D$73,VRAGENLIJST!$F$251=dropdowns!$E$73),OFFSET(VRAGENLIJST!$F$255,Liquiditeit!O3*2-4,0)*0.5+(OFFSET(VRAGENLIJST!$F$255,(COLUMN(O12)-COLUMN($D$12))*2,0))*0.5,IF(OR(VRAGENLIJST!$F$251=dropdowns!$B$74,VRAGENLIJST!$F$251=dropdowns!$C$74,VRAGENLIJST!$F$251=dropdowns!$D$74,VRAGENLIJST!$F$251=dropdowns!$E$74),OFFSET(VRAGENLIJST!$F$255,Liquiditeit!O3*2-4,0),IF(OR(VRAGENLIJST!$F$251=dropdowns!$B$75,VRAGENLIJST!$F$251=dropdowns!$C$75,VRAGENLIJST!$F$251=dropdowns!$D$75,VRAGENLIJST!$F$251=dropdowns!$E$75),OFFSET(VRAGENLIJST!$F$255,Liquiditeit!O3*2-6,0),IF(OR(VRAGENLIJST!$F$251=dropdowns!$B$76,VRAGENLIJST!$F$251=dropdowns!$C$76,VRAGENLIJST!$F$251=dropdowns!$D$76,VRAGENLIJST!$F$251=dropdowns!$E$76),OFFSET(VRAGENLIJST!$F$255,Liquiditeit!O3*2-8,0),0))))))</f>
        <v>0</v>
      </c>
      <c r="P12" s="320">
        <f ca="1">SUM(D12:O12)</f>
        <v>0</v>
      </c>
      <c r="Q12" s="318">
        <f ca="1">IF(VRAGENLIJST!$F$251="",0,IF(OR(VRAGENLIJST!$F$251=dropdowns!$B$72,VRAGENLIJST!$F$251=dropdowns!$C$72,VRAGENLIJST!$F$251=dropdowns!$D$72,VRAGENLIJST!$F$251=dropdowns!$E$72),OFFSET(VRAGENLIJST!$F$255,(COLUMN(Q12)-COLUMN($E$12))*2,0),IF(OR(VRAGENLIJST!$F$251=dropdowns!$B$73,VRAGENLIJST!$F$251=dropdowns!$C$73,VRAGENLIJST!$F$251=dropdowns!$D$73,VRAGENLIJST!$F$251=dropdowns!$E$73),OFFSET(VRAGENLIJST!$F$255,Liquiditeit!Q3*2-4,0)*0.5+(OFFSET(VRAGENLIJST!$F$255,(COLUMN(Q12)-COLUMN($E$12))*2,0))*0.5,IF(OR(VRAGENLIJST!$F$251=dropdowns!$B$74,VRAGENLIJST!$F$251=dropdowns!$C$74,VRAGENLIJST!$F$251=dropdowns!$D$74,VRAGENLIJST!$F$251=dropdowns!$E$74),OFFSET(VRAGENLIJST!$F$255,Liquiditeit!Q3*2-4,0),IF(OR(VRAGENLIJST!$F$251=dropdowns!$B$75,VRAGENLIJST!$F$251=dropdowns!$C$75,VRAGENLIJST!$F$251=dropdowns!$D$75,VRAGENLIJST!$F$251=dropdowns!$E$75),OFFSET(VRAGENLIJST!$F$255,Liquiditeit!Q3*2-6,0),IF(OR(VRAGENLIJST!$F$251=dropdowns!$B$76,VRAGENLIJST!$F$251=dropdowns!$C$76,VRAGENLIJST!$F$251=dropdowns!$D$76,VRAGENLIJST!$F$251=dropdowns!$E$76),OFFSET(VRAGENLIJST!$F$255,Liquiditeit!Q3*2-8,0),0))))))</f>
        <v>0</v>
      </c>
      <c r="R12" s="318">
        <f ca="1">IF(VRAGENLIJST!$F$251="",0,IF(OR(VRAGENLIJST!$F$251=dropdowns!$B$72,VRAGENLIJST!$F$251=dropdowns!$C$72,VRAGENLIJST!$F$251=dropdowns!$D$72,VRAGENLIJST!$F$251=dropdowns!$E$72),OFFSET(VRAGENLIJST!$F$255,(COLUMN(R12)-COLUMN($E$12))*2,0),IF(OR(VRAGENLIJST!$F$251=dropdowns!$B$73,VRAGENLIJST!$F$251=dropdowns!$C$73,VRAGENLIJST!$F$251=dropdowns!$D$73,VRAGENLIJST!$F$251=dropdowns!$E$73),OFFSET(VRAGENLIJST!$F$255,Liquiditeit!R3*2-4,0)*0.5+(OFFSET(VRAGENLIJST!$F$255,(COLUMN(R12)-COLUMN($E$12))*2,0))*0.5,IF(OR(VRAGENLIJST!$F$251=dropdowns!$B$74,VRAGENLIJST!$F$251=dropdowns!$C$74,VRAGENLIJST!$F$251=dropdowns!$D$74,VRAGENLIJST!$F$251=dropdowns!$E$74),OFFSET(VRAGENLIJST!$F$255,Liquiditeit!R3*2-4,0),IF(OR(VRAGENLIJST!$F$251=dropdowns!$B$75,VRAGENLIJST!$F$251=dropdowns!$C$75,VRAGENLIJST!$F$251=dropdowns!$D$75,VRAGENLIJST!$F$251=dropdowns!$E$75),OFFSET(VRAGENLIJST!$F$255,Liquiditeit!R3*2-6,0),IF(OR(VRAGENLIJST!$F$251=dropdowns!$B$76,VRAGENLIJST!$F$251=dropdowns!$C$76,VRAGENLIJST!$F$251=dropdowns!$D$76,VRAGENLIJST!$F$251=dropdowns!$E$76),OFFSET(VRAGENLIJST!$F$255,Liquiditeit!R3*2-8,0),0))))))</f>
        <v>0</v>
      </c>
      <c r="S12" s="318">
        <f ca="1">IF(VRAGENLIJST!$F$251="",0,IF(OR(VRAGENLIJST!$F$251=dropdowns!$B$72,VRAGENLIJST!$F$251=dropdowns!$C$72,VRAGENLIJST!$F$251=dropdowns!$D$72,VRAGENLIJST!$F$251=dropdowns!$E$72),OFFSET(VRAGENLIJST!$F$255,(COLUMN(S12)-COLUMN($E$12))*2,0),IF(OR(VRAGENLIJST!$F$251=dropdowns!$B$73,VRAGENLIJST!$F$251=dropdowns!$C$73,VRAGENLIJST!$F$251=dropdowns!$D$73,VRAGENLIJST!$F$251=dropdowns!$E$73),OFFSET(VRAGENLIJST!$F$255,Liquiditeit!S3*2-4,0)*0.5+(OFFSET(VRAGENLIJST!$F$255,(COLUMN(S12)-COLUMN($E$12))*2,0))*0.5,IF(OR(VRAGENLIJST!$F$251=dropdowns!$B$74,VRAGENLIJST!$F$251=dropdowns!$C$74,VRAGENLIJST!$F$251=dropdowns!$D$74,VRAGENLIJST!$F$251=dropdowns!$E$74),OFFSET(VRAGENLIJST!$F$255,Liquiditeit!S3*2-4,0),IF(OR(VRAGENLIJST!$F$251=dropdowns!$B$75,VRAGENLIJST!$F$251=dropdowns!$C$75,VRAGENLIJST!$F$251=dropdowns!$D$75,VRAGENLIJST!$F$251=dropdowns!$E$75),OFFSET(VRAGENLIJST!$F$255,Liquiditeit!S3*2-6,0),IF(OR(VRAGENLIJST!$F$251=dropdowns!$B$76,VRAGENLIJST!$F$251=dropdowns!$C$76,VRAGENLIJST!$F$251=dropdowns!$D$76,VRAGENLIJST!$F$251=dropdowns!$E$76),OFFSET(VRAGENLIJST!$F$255,Liquiditeit!S3*2-8,0),0))))))</f>
        <v>0</v>
      </c>
      <c r="T12" s="318">
        <f ca="1">IF(VRAGENLIJST!$F$251="",0,IF(OR(VRAGENLIJST!$F$251=dropdowns!$B$72,VRAGENLIJST!$F$251=dropdowns!$C$72,VRAGENLIJST!$F$251=dropdowns!$D$72,VRAGENLIJST!$F$251=dropdowns!$E$72),OFFSET(VRAGENLIJST!$F$255,(COLUMN(T12)-COLUMN($E$12))*2,0),IF(OR(VRAGENLIJST!$F$251=dropdowns!$B$73,VRAGENLIJST!$F$251=dropdowns!$C$73,VRAGENLIJST!$F$251=dropdowns!$D$73,VRAGENLIJST!$F$251=dropdowns!$E$73),OFFSET(VRAGENLIJST!$F$255,Liquiditeit!T3*2-4,0)*0.5+(OFFSET(VRAGENLIJST!$F$255,(COLUMN(T12)-COLUMN($E$12))*2,0))*0.5,IF(OR(VRAGENLIJST!$F$251=dropdowns!$B$74,VRAGENLIJST!$F$251=dropdowns!$C$74,VRAGENLIJST!$F$251=dropdowns!$D$74,VRAGENLIJST!$F$251=dropdowns!$E$74),OFFSET(VRAGENLIJST!$F$255,Liquiditeit!T3*2-4,0),IF(OR(VRAGENLIJST!$F$251=dropdowns!$B$75,VRAGENLIJST!$F$251=dropdowns!$C$75,VRAGENLIJST!$F$251=dropdowns!$D$75,VRAGENLIJST!$F$251=dropdowns!$E$75),OFFSET(VRAGENLIJST!$F$255,Liquiditeit!T3*2-6,0),IF(OR(VRAGENLIJST!$F$251=dropdowns!$B$76,VRAGENLIJST!$F$251=dropdowns!$C$76,VRAGENLIJST!$F$251=dropdowns!$D$76,VRAGENLIJST!$F$251=dropdowns!$E$76),OFFSET(VRAGENLIJST!$F$255,Liquiditeit!T3*2-8,0),0))))))</f>
        <v>0</v>
      </c>
      <c r="U12" s="318">
        <f ca="1">IF(VRAGENLIJST!$F$251="",0,IF(OR(VRAGENLIJST!$F$251=dropdowns!$B$72,VRAGENLIJST!$F$251=dropdowns!$C$72,VRAGENLIJST!$F$251=dropdowns!$D$72,VRAGENLIJST!$F$251=dropdowns!$E$72),OFFSET(VRAGENLIJST!$F$255,(COLUMN(U12)-COLUMN($E$12))*2,0),IF(OR(VRAGENLIJST!$F$251=dropdowns!$B$73,VRAGENLIJST!$F$251=dropdowns!$C$73,VRAGENLIJST!$F$251=dropdowns!$D$73,VRAGENLIJST!$F$251=dropdowns!$E$73),OFFSET(VRAGENLIJST!$F$255,Liquiditeit!U3*2-4,0)*0.5+(OFFSET(VRAGENLIJST!$F$255,(COLUMN(U12)-COLUMN($E$12))*2,0))*0.5,IF(OR(VRAGENLIJST!$F$251=dropdowns!$B$74,VRAGENLIJST!$F$251=dropdowns!$C$74,VRAGENLIJST!$F$251=dropdowns!$D$74,VRAGENLIJST!$F$251=dropdowns!$E$74),OFFSET(VRAGENLIJST!$F$255,Liquiditeit!U3*2-4,0),IF(OR(VRAGENLIJST!$F$251=dropdowns!$B$75,VRAGENLIJST!$F$251=dropdowns!$C$75,VRAGENLIJST!$F$251=dropdowns!$D$75,VRAGENLIJST!$F$251=dropdowns!$E$75),OFFSET(VRAGENLIJST!$F$255,Liquiditeit!U3*2-6,0),IF(OR(VRAGENLIJST!$F$251=dropdowns!$B$76,VRAGENLIJST!$F$251=dropdowns!$C$76,VRAGENLIJST!$F$251=dropdowns!$D$76,VRAGENLIJST!$F$251=dropdowns!$E$76),OFFSET(VRAGENLIJST!$F$255,Liquiditeit!U3*2-8,0),0))))))</f>
        <v>0</v>
      </c>
      <c r="V12" s="318">
        <f ca="1">IF(VRAGENLIJST!$F$251="",0,IF(OR(VRAGENLIJST!$F$251=dropdowns!$B$72,VRAGENLIJST!$F$251=dropdowns!$C$72,VRAGENLIJST!$F$251=dropdowns!$D$72,VRAGENLIJST!$F$251=dropdowns!$E$72),OFFSET(VRAGENLIJST!$F$255,(COLUMN(V12)-COLUMN($E$12))*2,0),IF(OR(VRAGENLIJST!$F$251=dropdowns!$B$73,VRAGENLIJST!$F$251=dropdowns!$C$73,VRAGENLIJST!$F$251=dropdowns!$D$73,VRAGENLIJST!$F$251=dropdowns!$E$73),OFFSET(VRAGENLIJST!$F$255,Liquiditeit!V3*2-4,0)*0.5+(OFFSET(VRAGENLIJST!$F$255,(COLUMN(V12)-COLUMN($E$12))*2,0))*0.5,IF(OR(VRAGENLIJST!$F$251=dropdowns!$B$74,VRAGENLIJST!$F$251=dropdowns!$C$74,VRAGENLIJST!$F$251=dropdowns!$D$74,VRAGENLIJST!$F$251=dropdowns!$E$74),OFFSET(VRAGENLIJST!$F$255,Liquiditeit!V3*2-4,0),IF(OR(VRAGENLIJST!$F$251=dropdowns!$B$75,VRAGENLIJST!$F$251=dropdowns!$C$75,VRAGENLIJST!$F$251=dropdowns!$D$75,VRAGENLIJST!$F$251=dropdowns!$E$75),OFFSET(VRAGENLIJST!$F$255,Liquiditeit!V3*2-6,0),IF(OR(VRAGENLIJST!$F$251=dropdowns!$B$76,VRAGENLIJST!$F$251=dropdowns!$C$76,VRAGENLIJST!$F$251=dropdowns!$D$76,VRAGENLIJST!$F$251=dropdowns!$E$76),OFFSET(VRAGENLIJST!$F$255,Liquiditeit!V3*2-8,0),0))))))</f>
        <v>0</v>
      </c>
      <c r="W12" s="318">
        <f ca="1">IF(VRAGENLIJST!$F$251="",0,IF(OR(VRAGENLIJST!$F$251=dropdowns!$B$72,VRAGENLIJST!$F$251=dropdowns!$C$72,VRAGENLIJST!$F$251=dropdowns!$D$72,VRAGENLIJST!$F$251=dropdowns!$E$72),OFFSET(VRAGENLIJST!$F$255,(COLUMN(W12)-COLUMN($E$12))*2,0),IF(OR(VRAGENLIJST!$F$251=dropdowns!$B$73,VRAGENLIJST!$F$251=dropdowns!$C$73,VRAGENLIJST!$F$251=dropdowns!$D$73,VRAGENLIJST!$F$251=dropdowns!$E$73),OFFSET(VRAGENLIJST!$F$255,Liquiditeit!W3*2-4,0)*0.5+(OFFSET(VRAGENLIJST!$F$255,(COLUMN(W12)-COLUMN($E$12))*2,0))*0.5,IF(OR(VRAGENLIJST!$F$251=dropdowns!$B$74,VRAGENLIJST!$F$251=dropdowns!$C$74,VRAGENLIJST!$F$251=dropdowns!$D$74,VRAGENLIJST!$F$251=dropdowns!$E$74),OFFSET(VRAGENLIJST!$F$255,Liquiditeit!W3*2-4,0),IF(OR(VRAGENLIJST!$F$251=dropdowns!$B$75,VRAGENLIJST!$F$251=dropdowns!$C$75,VRAGENLIJST!$F$251=dropdowns!$D$75,VRAGENLIJST!$F$251=dropdowns!$E$75),OFFSET(VRAGENLIJST!$F$255,Liquiditeit!W3*2-6,0),IF(OR(VRAGENLIJST!$F$251=dropdowns!$B$76,VRAGENLIJST!$F$251=dropdowns!$C$76,VRAGENLIJST!$F$251=dropdowns!$D$76,VRAGENLIJST!$F$251=dropdowns!$E$76),OFFSET(VRAGENLIJST!$F$255,Liquiditeit!W3*2-8,0),0))))))</f>
        <v>0</v>
      </c>
      <c r="X12" s="318">
        <f ca="1">IF(VRAGENLIJST!$F$251="",0,IF(OR(VRAGENLIJST!$F$251=dropdowns!$B$72,VRAGENLIJST!$F$251=dropdowns!$C$72,VRAGENLIJST!$F$251=dropdowns!$D$72,VRAGENLIJST!$F$251=dropdowns!$E$72),OFFSET(VRAGENLIJST!$F$255,(COLUMN(X12)-COLUMN($E$12))*2,0),IF(OR(VRAGENLIJST!$F$251=dropdowns!$B$73,VRAGENLIJST!$F$251=dropdowns!$C$73,VRAGENLIJST!$F$251=dropdowns!$D$73,VRAGENLIJST!$F$251=dropdowns!$E$73),OFFSET(VRAGENLIJST!$F$255,Liquiditeit!X3*2-4,0)*0.5+(OFFSET(VRAGENLIJST!$F$255,(COLUMN(X12)-COLUMN($E$12))*2,0))*0.5,IF(OR(VRAGENLIJST!$F$251=dropdowns!$B$74,VRAGENLIJST!$F$251=dropdowns!$C$74,VRAGENLIJST!$F$251=dropdowns!$D$74,VRAGENLIJST!$F$251=dropdowns!$E$74),OFFSET(VRAGENLIJST!$F$255,Liquiditeit!X3*2-4,0),IF(OR(VRAGENLIJST!$F$251=dropdowns!$B$75,VRAGENLIJST!$F$251=dropdowns!$C$75,VRAGENLIJST!$F$251=dropdowns!$D$75,VRAGENLIJST!$F$251=dropdowns!$E$75),OFFSET(VRAGENLIJST!$F$255,Liquiditeit!X3*2-6,0),IF(OR(VRAGENLIJST!$F$251=dropdowns!$B$76,VRAGENLIJST!$F$251=dropdowns!$C$76,VRAGENLIJST!$F$251=dropdowns!$D$76,VRAGENLIJST!$F$251=dropdowns!$E$76),OFFSET(VRAGENLIJST!$F$255,Liquiditeit!X3*2-8,0),0))))))</f>
        <v>0</v>
      </c>
      <c r="Y12" s="318">
        <f ca="1">IF(VRAGENLIJST!$F$251="",0,IF(OR(VRAGENLIJST!$F$251=dropdowns!$B$72,VRAGENLIJST!$F$251=dropdowns!$C$72,VRAGENLIJST!$F$251=dropdowns!$D$72,VRAGENLIJST!$F$251=dropdowns!$E$72),OFFSET(VRAGENLIJST!$F$255,(COLUMN(Y12)-COLUMN($E$12))*2,0),IF(OR(VRAGENLIJST!$F$251=dropdowns!$B$73,VRAGENLIJST!$F$251=dropdowns!$C$73,VRAGENLIJST!$F$251=dropdowns!$D$73,VRAGENLIJST!$F$251=dropdowns!$E$73),OFFSET(VRAGENLIJST!$F$255,Liquiditeit!Y3*2-4,0)*0.5+(OFFSET(VRAGENLIJST!$F$255,(COLUMN(Y12)-COLUMN($E$12))*2,0))*0.5,IF(OR(VRAGENLIJST!$F$251=dropdowns!$B$74,VRAGENLIJST!$F$251=dropdowns!$C$74,VRAGENLIJST!$F$251=dropdowns!$D$74,VRAGENLIJST!$F$251=dropdowns!$E$74),OFFSET(VRAGENLIJST!$F$255,Liquiditeit!Y3*2-4,0),IF(OR(VRAGENLIJST!$F$251=dropdowns!$B$75,VRAGENLIJST!$F$251=dropdowns!$C$75,VRAGENLIJST!$F$251=dropdowns!$D$75,VRAGENLIJST!$F$251=dropdowns!$E$75),OFFSET(VRAGENLIJST!$F$255,Liquiditeit!Y3*2-6,0),IF(OR(VRAGENLIJST!$F$251=dropdowns!$B$76,VRAGENLIJST!$F$251=dropdowns!$C$76,VRAGENLIJST!$F$251=dropdowns!$D$76,VRAGENLIJST!$F$251=dropdowns!$E$76),OFFSET(VRAGENLIJST!$F$255,Liquiditeit!Y3*2-8,0),0))))))</f>
        <v>0</v>
      </c>
      <c r="Z12" s="318">
        <f ca="1">IF(VRAGENLIJST!$F$251="",0,IF(OR(VRAGENLIJST!$F$251=dropdowns!$B$72,VRAGENLIJST!$F$251=dropdowns!$C$72,VRAGENLIJST!$F$251=dropdowns!$D$72,VRAGENLIJST!$F$251=dropdowns!$E$72),OFFSET(VRAGENLIJST!$F$255,(COLUMN(Z12)-COLUMN($E$12))*2,0),IF(OR(VRAGENLIJST!$F$251=dropdowns!$B$73,VRAGENLIJST!$F$251=dropdowns!$C$73,VRAGENLIJST!$F$251=dropdowns!$D$73,VRAGENLIJST!$F$251=dropdowns!$E$73),OFFSET(VRAGENLIJST!$F$255,Liquiditeit!Z3*2-4,0)*0.5+(OFFSET(VRAGENLIJST!$F$255,(COLUMN(Z12)-COLUMN($E$12))*2,0))*0.5,IF(OR(VRAGENLIJST!$F$251=dropdowns!$B$74,VRAGENLIJST!$F$251=dropdowns!$C$74,VRAGENLIJST!$F$251=dropdowns!$D$74,VRAGENLIJST!$F$251=dropdowns!$E$74),OFFSET(VRAGENLIJST!$F$255,Liquiditeit!Z3*2-4,0),IF(OR(VRAGENLIJST!$F$251=dropdowns!$B$75,VRAGENLIJST!$F$251=dropdowns!$C$75,VRAGENLIJST!$F$251=dropdowns!$D$75,VRAGENLIJST!$F$251=dropdowns!$E$75),OFFSET(VRAGENLIJST!$F$255,Liquiditeit!Z3*2-6,0),IF(OR(VRAGENLIJST!$F$251=dropdowns!$B$76,VRAGENLIJST!$F$251=dropdowns!$C$76,VRAGENLIJST!$F$251=dropdowns!$D$76,VRAGENLIJST!$F$251=dropdowns!$E$76),OFFSET(VRAGENLIJST!$F$255,Liquiditeit!Z3*2-8,0),0))))))</f>
        <v>0</v>
      </c>
      <c r="AA12" s="318">
        <f ca="1">IF(VRAGENLIJST!$F$251="",0,IF(OR(VRAGENLIJST!$F$251=dropdowns!$B$72,VRAGENLIJST!$F$251=dropdowns!$C$72,VRAGENLIJST!$F$251=dropdowns!$D$72,VRAGENLIJST!$F$251=dropdowns!$E$72),OFFSET(VRAGENLIJST!$F$255,(COLUMN(AA12)-COLUMN($E$12))*2,0),IF(OR(VRAGENLIJST!$F$251=dropdowns!$B$73,VRAGENLIJST!$F$251=dropdowns!$C$73,VRAGENLIJST!$F$251=dropdowns!$D$73,VRAGENLIJST!$F$251=dropdowns!$E$73),OFFSET(VRAGENLIJST!$F$255,Liquiditeit!AA3*2-4,0)*0.5+(OFFSET(VRAGENLIJST!$F$255,(COLUMN(AA12)-COLUMN($E$12))*2,0))*0.5,IF(OR(VRAGENLIJST!$F$251=dropdowns!$B$74,VRAGENLIJST!$F$251=dropdowns!$C$74,VRAGENLIJST!$F$251=dropdowns!$D$74,VRAGENLIJST!$F$251=dropdowns!$E$74),OFFSET(VRAGENLIJST!$F$255,Liquiditeit!AA3*2-4,0),IF(OR(VRAGENLIJST!$F$251=dropdowns!$B$75,VRAGENLIJST!$F$251=dropdowns!$C$75,VRAGENLIJST!$F$251=dropdowns!$D$75,VRAGENLIJST!$F$251=dropdowns!$E$75),OFFSET(VRAGENLIJST!$F$255,Liquiditeit!AA3*2-6,0),IF(OR(VRAGENLIJST!$F$251=dropdowns!$B$76,VRAGENLIJST!$F$251=dropdowns!$C$76,VRAGENLIJST!$F$251=dropdowns!$D$76,VRAGENLIJST!$F$251=dropdowns!$E$76),OFFSET(VRAGENLIJST!$F$255,Liquiditeit!AA3*2-8,0),0))))))</f>
        <v>0</v>
      </c>
      <c r="AB12" s="318">
        <f ca="1">IF(VRAGENLIJST!$F$251="",0,IF(OR(VRAGENLIJST!$F$251=dropdowns!$B$72,VRAGENLIJST!$F$251=dropdowns!$C$72,VRAGENLIJST!$F$251=dropdowns!$D$72,VRAGENLIJST!$F$251=dropdowns!$E$72),OFFSET(VRAGENLIJST!$F$255,(COLUMN(AB12)-COLUMN($E$12))*2,0),IF(OR(VRAGENLIJST!$F$251=dropdowns!$B$73,VRAGENLIJST!$F$251=dropdowns!$C$73,VRAGENLIJST!$F$251=dropdowns!$D$73,VRAGENLIJST!$F$251=dropdowns!$E$73),OFFSET(VRAGENLIJST!$F$255,Liquiditeit!AB3*2-4,0)*0.5+(OFFSET(VRAGENLIJST!$F$255,(COLUMN(AB12)-COLUMN($E$12))*2,0))*0.5,IF(OR(VRAGENLIJST!$F$251=dropdowns!$B$74,VRAGENLIJST!$F$251=dropdowns!$C$74,VRAGENLIJST!$F$251=dropdowns!$D$74,VRAGENLIJST!$F$251=dropdowns!$E$74),OFFSET(VRAGENLIJST!$F$255,Liquiditeit!AB3*2-4,0),IF(OR(VRAGENLIJST!$F$251=dropdowns!$B$75,VRAGENLIJST!$F$251=dropdowns!$C$75,VRAGENLIJST!$F$251=dropdowns!$D$75,VRAGENLIJST!$F$251=dropdowns!$E$75),OFFSET(VRAGENLIJST!$F$255,Liquiditeit!AB3*2-6,0),IF(OR(VRAGENLIJST!$F$251=dropdowns!$B$76,VRAGENLIJST!$F$251=dropdowns!$C$76,VRAGENLIJST!$F$251=dropdowns!$D$76,VRAGENLIJST!$F$251=dropdowns!$E$76),OFFSET(VRAGENLIJST!$F$255,Liquiditeit!AB3*2-8,0),0))))))</f>
        <v>0</v>
      </c>
      <c r="AC12" s="320">
        <f ca="1">SUM(Q12:AB12)</f>
        <v>0</v>
      </c>
      <c r="AD12" s="318">
        <f ca="1">IF(VRAGENLIJST!$F$251="",0,IF(OR(VRAGENLIJST!$F$251=dropdowns!$B$72,VRAGENLIJST!$F$251=dropdowns!$C$72,VRAGENLIJST!$F$251=dropdowns!$D$72,VRAGENLIJST!$F$251=dropdowns!$E$72),OFFSET(VRAGENLIJST!$F$255,(COLUMN(AD12)-COLUMN($F$12))*2,0),IF(OR(VRAGENLIJST!$F$251=dropdowns!$B$73,VRAGENLIJST!$F$251=dropdowns!$C$73,VRAGENLIJST!$F$251=dropdowns!$D$73,VRAGENLIJST!$F$251=dropdowns!$E$73),OFFSET(VRAGENLIJST!$F$255,Liquiditeit!AD3*2-4,0)*0.5+(OFFSET(VRAGENLIJST!$F$255,(COLUMN(AD12)-COLUMN($F$12))*2,0))*0.5,IF(OR(VRAGENLIJST!$F$251=dropdowns!$B$74,VRAGENLIJST!$F$251=dropdowns!$C$74,VRAGENLIJST!$F$251=dropdowns!$D$74,VRAGENLIJST!$F$251=dropdowns!$E$74),OFFSET(VRAGENLIJST!$F$255,Liquiditeit!AD3*2-4,0),IF(OR(VRAGENLIJST!$F$251=dropdowns!$B$75,VRAGENLIJST!$F$251=dropdowns!$C$75,VRAGENLIJST!$F$251=dropdowns!$D$75,VRAGENLIJST!$F$251=dropdowns!$E$75),OFFSET(VRAGENLIJST!$F$255,Liquiditeit!AD3*2-6,0),IF(OR(VRAGENLIJST!$F$251=dropdowns!$B$76,VRAGENLIJST!$F$251=dropdowns!$C$76,VRAGENLIJST!$F$251=dropdowns!$D$76,VRAGENLIJST!$F$251=dropdowns!$E$76),OFFSET(VRAGENLIJST!$F$255,Liquiditeit!AD3*2-8,0),0))))))</f>
        <v>0</v>
      </c>
      <c r="AE12" s="318">
        <f ca="1">IF(VRAGENLIJST!$F$251="",0,IF(OR(VRAGENLIJST!$F$251=dropdowns!$B$72,VRAGENLIJST!$F$251=dropdowns!$C$72,VRAGENLIJST!$F$251=dropdowns!$D$72,VRAGENLIJST!$F$251=dropdowns!$E$72),OFFSET(VRAGENLIJST!$F$255,(COLUMN(AE12)-COLUMN($F$12))*2,0),IF(OR(VRAGENLIJST!$F$251=dropdowns!$B$73,VRAGENLIJST!$F$251=dropdowns!$C$73,VRAGENLIJST!$F$251=dropdowns!$D$73,VRAGENLIJST!$F$251=dropdowns!$E$73),OFFSET(VRAGENLIJST!$F$255,Liquiditeit!AE3*2-4,0)*0.5+(OFFSET(VRAGENLIJST!$F$255,(COLUMN(AE12)-COLUMN($F$12))*2,0))*0.5,IF(OR(VRAGENLIJST!$F$251=dropdowns!$B$74,VRAGENLIJST!$F$251=dropdowns!$C$74,VRAGENLIJST!$F$251=dropdowns!$D$74,VRAGENLIJST!$F$251=dropdowns!$E$74),OFFSET(VRAGENLIJST!$F$255,Liquiditeit!AE3*2-4,0),IF(OR(VRAGENLIJST!$F$251=dropdowns!$B$75,VRAGENLIJST!$F$251=dropdowns!$C$75,VRAGENLIJST!$F$251=dropdowns!$D$75,VRAGENLIJST!$F$251=dropdowns!$E$75),OFFSET(VRAGENLIJST!$F$255,Liquiditeit!AE3*2-6,0),IF(OR(VRAGENLIJST!$F$251=dropdowns!$B$76,VRAGENLIJST!$F$251=dropdowns!$C$76,VRAGENLIJST!$F$251=dropdowns!$D$76,VRAGENLIJST!$F$251=dropdowns!$E$76),OFFSET(VRAGENLIJST!$F$255,Liquiditeit!AE3*2-8,0),0))))))</f>
        <v>0</v>
      </c>
      <c r="AF12" s="318">
        <f ca="1">IF(VRAGENLIJST!$F$251="",0,IF(OR(VRAGENLIJST!$F$251=dropdowns!$B$72,VRAGENLIJST!$F$251=dropdowns!$C$72,VRAGENLIJST!$F$251=dropdowns!$D$72,VRAGENLIJST!$F$251=dropdowns!$E$72),OFFSET(VRAGENLIJST!$F$255,(COLUMN(AF12)-COLUMN($F$12))*2,0),IF(OR(VRAGENLIJST!$F$251=dropdowns!$B$73,VRAGENLIJST!$F$251=dropdowns!$C$73,VRAGENLIJST!$F$251=dropdowns!$D$73,VRAGENLIJST!$F$251=dropdowns!$E$73),OFFSET(VRAGENLIJST!$F$255,Liquiditeit!AF3*2-4,0)*0.5+(OFFSET(VRAGENLIJST!$F$255,(COLUMN(AF12)-COLUMN($F$12))*2,0))*0.5,IF(OR(VRAGENLIJST!$F$251=dropdowns!$B$74,VRAGENLIJST!$F$251=dropdowns!$C$74,VRAGENLIJST!$F$251=dropdowns!$D$74,VRAGENLIJST!$F$251=dropdowns!$E$74),OFFSET(VRAGENLIJST!$F$255,Liquiditeit!AF3*2-4,0),IF(OR(VRAGENLIJST!$F$251=dropdowns!$B$75,VRAGENLIJST!$F$251=dropdowns!$C$75,VRAGENLIJST!$F$251=dropdowns!$D$75,VRAGENLIJST!$F$251=dropdowns!$E$75),OFFSET(VRAGENLIJST!$F$255,Liquiditeit!AF3*2-6,0),IF(OR(VRAGENLIJST!$F$251=dropdowns!$B$76,VRAGENLIJST!$F$251=dropdowns!$C$76,VRAGENLIJST!$F$251=dropdowns!$D$76,VRAGENLIJST!$F$251=dropdowns!$E$76),OFFSET(VRAGENLIJST!$F$255,Liquiditeit!AF3*2-8,0),0))))))</f>
        <v>0</v>
      </c>
      <c r="AG12" s="318">
        <f ca="1">IF(VRAGENLIJST!$F$251="",0,IF(OR(VRAGENLIJST!$F$251=dropdowns!$B$72,VRAGENLIJST!$F$251=dropdowns!$C$72,VRAGENLIJST!$F$251=dropdowns!$D$72,VRAGENLIJST!$F$251=dropdowns!$E$72),OFFSET(VRAGENLIJST!$F$255,(COLUMN(AG12)-COLUMN($F$12))*2,0),IF(OR(VRAGENLIJST!$F$251=dropdowns!$B$73,VRAGENLIJST!$F$251=dropdowns!$C$73,VRAGENLIJST!$F$251=dropdowns!$D$73,VRAGENLIJST!$F$251=dropdowns!$E$73),OFFSET(VRAGENLIJST!$F$255,Liquiditeit!AG3*2-4,0)*0.5+(OFFSET(VRAGENLIJST!$F$255,(COLUMN(AG12)-COLUMN($F$12))*2,0))*0.5,IF(OR(VRAGENLIJST!$F$251=dropdowns!$B$74,VRAGENLIJST!$F$251=dropdowns!$C$74,VRAGENLIJST!$F$251=dropdowns!$D$74,VRAGENLIJST!$F$251=dropdowns!$E$74),OFFSET(VRAGENLIJST!$F$255,Liquiditeit!AG3*2-4,0),IF(OR(VRAGENLIJST!$F$251=dropdowns!$B$75,VRAGENLIJST!$F$251=dropdowns!$C$75,VRAGENLIJST!$F$251=dropdowns!$D$75,VRAGENLIJST!$F$251=dropdowns!$E$75),OFFSET(VRAGENLIJST!$F$255,Liquiditeit!AG3*2-6,0),IF(OR(VRAGENLIJST!$F$251=dropdowns!$B$76,VRAGENLIJST!$F$251=dropdowns!$C$76,VRAGENLIJST!$F$251=dropdowns!$D$76,VRAGENLIJST!$F$251=dropdowns!$E$76),OFFSET(VRAGENLIJST!$F$255,Liquiditeit!AG3*2-8,0),0))))))</f>
        <v>0</v>
      </c>
      <c r="AH12" s="318">
        <f ca="1">IF(VRAGENLIJST!$F$251="",0,IF(OR(VRAGENLIJST!$F$251=dropdowns!$B$72,VRAGENLIJST!$F$251=dropdowns!$C$72,VRAGENLIJST!$F$251=dropdowns!$D$72,VRAGENLIJST!$F$251=dropdowns!$E$72),OFFSET(VRAGENLIJST!$F$255,(COLUMN(AH12)-COLUMN($F$12))*2,0),IF(OR(VRAGENLIJST!$F$251=dropdowns!$B$73,VRAGENLIJST!$F$251=dropdowns!$C$73,VRAGENLIJST!$F$251=dropdowns!$D$73,VRAGENLIJST!$F$251=dropdowns!$E$73),OFFSET(VRAGENLIJST!$F$255,Liquiditeit!AH3*2-4,0)*0.5+(OFFSET(VRAGENLIJST!$F$255,(COLUMN(AH12)-COLUMN($F$12))*2,0))*0.5,IF(OR(VRAGENLIJST!$F$251=dropdowns!$B$74,VRAGENLIJST!$F$251=dropdowns!$C$74,VRAGENLIJST!$F$251=dropdowns!$D$74,VRAGENLIJST!$F$251=dropdowns!$E$74),OFFSET(VRAGENLIJST!$F$255,Liquiditeit!AH3*2-4,0),IF(OR(VRAGENLIJST!$F$251=dropdowns!$B$75,VRAGENLIJST!$F$251=dropdowns!$C$75,VRAGENLIJST!$F$251=dropdowns!$D$75,VRAGENLIJST!$F$251=dropdowns!$E$75),OFFSET(VRAGENLIJST!$F$255,Liquiditeit!AH3*2-6,0),IF(OR(VRAGENLIJST!$F$251=dropdowns!$B$76,VRAGENLIJST!$F$251=dropdowns!$C$76,VRAGENLIJST!$F$251=dropdowns!$D$76,VRAGENLIJST!$F$251=dropdowns!$E$76),OFFSET(VRAGENLIJST!$F$255,Liquiditeit!AH3*2-8,0),0))))))</f>
        <v>0</v>
      </c>
      <c r="AI12" s="318">
        <f ca="1">IF(VRAGENLIJST!$F$251="",0,IF(OR(VRAGENLIJST!$F$251=dropdowns!$B$72,VRAGENLIJST!$F$251=dropdowns!$C$72,VRAGENLIJST!$F$251=dropdowns!$D$72,VRAGENLIJST!$F$251=dropdowns!$E$72),OFFSET(VRAGENLIJST!$F$255,(COLUMN(AI12)-COLUMN($F$12))*2,0),IF(OR(VRAGENLIJST!$F$251=dropdowns!$B$73,VRAGENLIJST!$F$251=dropdowns!$C$73,VRAGENLIJST!$F$251=dropdowns!$D$73,VRAGENLIJST!$F$251=dropdowns!$E$73),OFFSET(VRAGENLIJST!$F$255,Liquiditeit!AI3*2-4,0)*0.5+(OFFSET(VRAGENLIJST!$F$255,(COLUMN(AI12)-COLUMN($F$12))*2,0))*0.5,IF(OR(VRAGENLIJST!$F$251=dropdowns!$B$74,VRAGENLIJST!$F$251=dropdowns!$C$74,VRAGENLIJST!$F$251=dropdowns!$D$74,VRAGENLIJST!$F$251=dropdowns!$E$74),OFFSET(VRAGENLIJST!$F$255,Liquiditeit!AI3*2-4,0),IF(OR(VRAGENLIJST!$F$251=dropdowns!$B$75,VRAGENLIJST!$F$251=dropdowns!$C$75,VRAGENLIJST!$F$251=dropdowns!$D$75,VRAGENLIJST!$F$251=dropdowns!$E$75),OFFSET(VRAGENLIJST!$F$255,Liquiditeit!AI3*2-6,0),IF(OR(VRAGENLIJST!$F$251=dropdowns!$B$76,VRAGENLIJST!$F$251=dropdowns!$C$76,VRAGENLIJST!$F$251=dropdowns!$D$76,VRAGENLIJST!$F$251=dropdowns!$E$76),OFFSET(VRAGENLIJST!$F$255,Liquiditeit!AI3*2-8,0),0))))))</f>
        <v>0</v>
      </c>
      <c r="AJ12" s="318">
        <f ca="1">IF(VRAGENLIJST!$F$251="",0,IF(OR(VRAGENLIJST!$F$251=dropdowns!$B$72,VRAGENLIJST!$F$251=dropdowns!$C$72,VRAGENLIJST!$F$251=dropdowns!$D$72,VRAGENLIJST!$F$251=dropdowns!$E$72),OFFSET(VRAGENLIJST!$F$255,(COLUMN(AJ12)-COLUMN($F$12))*2,0),IF(OR(VRAGENLIJST!$F$251=dropdowns!$B$73,VRAGENLIJST!$F$251=dropdowns!$C$73,VRAGENLIJST!$F$251=dropdowns!$D$73,VRAGENLIJST!$F$251=dropdowns!$E$73),OFFSET(VRAGENLIJST!$F$255,Liquiditeit!AJ3*2-4,0)*0.5+(OFFSET(VRAGENLIJST!$F$255,(COLUMN(AJ12)-COLUMN($F$12))*2,0))*0.5,IF(OR(VRAGENLIJST!$F$251=dropdowns!$B$74,VRAGENLIJST!$F$251=dropdowns!$C$74,VRAGENLIJST!$F$251=dropdowns!$D$74,VRAGENLIJST!$F$251=dropdowns!$E$74),OFFSET(VRAGENLIJST!$F$255,Liquiditeit!AJ3*2-4,0),IF(OR(VRAGENLIJST!$F$251=dropdowns!$B$75,VRAGENLIJST!$F$251=dropdowns!$C$75,VRAGENLIJST!$F$251=dropdowns!$D$75,VRAGENLIJST!$F$251=dropdowns!$E$75),OFFSET(VRAGENLIJST!$F$255,Liquiditeit!AJ3*2-6,0),IF(OR(VRAGENLIJST!$F$251=dropdowns!$B$76,VRAGENLIJST!$F$251=dropdowns!$C$76,VRAGENLIJST!$F$251=dropdowns!$D$76,VRAGENLIJST!$F$251=dropdowns!$E$76),OFFSET(VRAGENLIJST!$F$255,Liquiditeit!AJ3*2-8,0),0))))))</f>
        <v>0</v>
      </c>
      <c r="AK12" s="318">
        <f ca="1">IF(VRAGENLIJST!$F$251="",0,IF(OR(VRAGENLIJST!$F$251=dropdowns!$B$72,VRAGENLIJST!$F$251=dropdowns!$C$72,VRAGENLIJST!$F$251=dropdowns!$D$72,VRAGENLIJST!$F$251=dropdowns!$E$72),OFFSET(VRAGENLIJST!$F$255,(COLUMN(AK12)-COLUMN($F$12))*2,0),IF(OR(VRAGENLIJST!$F$251=dropdowns!$B$73,VRAGENLIJST!$F$251=dropdowns!$C$73,VRAGENLIJST!$F$251=dropdowns!$D$73,VRAGENLIJST!$F$251=dropdowns!$E$73),OFFSET(VRAGENLIJST!$F$255,Liquiditeit!AK3*2-4,0)*0.5+(OFFSET(VRAGENLIJST!$F$255,(COLUMN(AK12)-COLUMN($F$12))*2,0))*0.5,IF(OR(VRAGENLIJST!$F$251=dropdowns!$B$74,VRAGENLIJST!$F$251=dropdowns!$C$74,VRAGENLIJST!$F$251=dropdowns!$D$74,VRAGENLIJST!$F$251=dropdowns!$E$74),OFFSET(VRAGENLIJST!$F$255,Liquiditeit!AK3*2-4,0),IF(OR(VRAGENLIJST!$F$251=dropdowns!$B$75,VRAGENLIJST!$F$251=dropdowns!$C$75,VRAGENLIJST!$F$251=dropdowns!$D$75,VRAGENLIJST!$F$251=dropdowns!$E$75),OFFSET(VRAGENLIJST!$F$255,Liquiditeit!AK3*2-6,0),IF(OR(VRAGENLIJST!$F$251=dropdowns!$B$76,VRAGENLIJST!$F$251=dropdowns!$C$76,VRAGENLIJST!$F$251=dropdowns!$D$76,VRAGENLIJST!$F$251=dropdowns!$E$76),OFFSET(VRAGENLIJST!$F$255,Liquiditeit!AK3*2-8,0),0))))))</f>
        <v>0</v>
      </c>
      <c r="AL12" s="318">
        <f ca="1">IF(VRAGENLIJST!$F$251="",0,IF(OR(VRAGENLIJST!$F$251=dropdowns!$B$72,VRAGENLIJST!$F$251=dropdowns!$C$72,VRAGENLIJST!$F$251=dropdowns!$D$72,VRAGENLIJST!$F$251=dropdowns!$E$72),OFFSET(VRAGENLIJST!$F$255,(COLUMN(AL12)-COLUMN($F$12))*2,0),IF(OR(VRAGENLIJST!$F$251=dropdowns!$B$73,VRAGENLIJST!$F$251=dropdowns!$C$73,VRAGENLIJST!$F$251=dropdowns!$D$73,VRAGENLIJST!$F$251=dropdowns!$E$73),OFFSET(VRAGENLIJST!$F$255,Liquiditeit!AL3*2-4,0)*0.5+(OFFSET(VRAGENLIJST!$F$255,(COLUMN(AL12)-COLUMN($F$12))*2,0))*0.5,IF(OR(VRAGENLIJST!$F$251=dropdowns!$B$74,VRAGENLIJST!$F$251=dropdowns!$C$74,VRAGENLIJST!$F$251=dropdowns!$D$74,VRAGENLIJST!$F$251=dropdowns!$E$74),OFFSET(VRAGENLIJST!$F$255,Liquiditeit!AL3*2-4,0),IF(OR(VRAGENLIJST!$F$251=dropdowns!$B$75,VRAGENLIJST!$F$251=dropdowns!$C$75,VRAGENLIJST!$F$251=dropdowns!$D$75,VRAGENLIJST!$F$251=dropdowns!$E$75),OFFSET(VRAGENLIJST!$F$255,Liquiditeit!AL3*2-6,0),IF(OR(VRAGENLIJST!$F$251=dropdowns!$B$76,VRAGENLIJST!$F$251=dropdowns!$C$76,VRAGENLIJST!$F$251=dropdowns!$D$76,VRAGENLIJST!$F$251=dropdowns!$E$76),OFFSET(VRAGENLIJST!$F$255,Liquiditeit!AL3*2-8,0),0))))))</f>
        <v>0</v>
      </c>
      <c r="AM12" s="318">
        <f ca="1">IF(VRAGENLIJST!$F$251="",0,IF(OR(VRAGENLIJST!$F$251=dropdowns!$B$72,VRAGENLIJST!$F$251=dropdowns!$C$72,VRAGENLIJST!$F$251=dropdowns!$D$72,VRAGENLIJST!$F$251=dropdowns!$E$72),OFFSET(VRAGENLIJST!$F$255,(COLUMN(AM12)-COLUMN($F$12))*2,0),IF(OR(VRAGENLIJST!$F$251=dropdowns!$B$73,VRAGENLIJST!$F$251=dropdowns!$C$73,VRAGENLIJST!$F$251=dropdowns!$D$73,VRAGENLIJST!$F$251=dropdowns!$E$73),OFFSET(VRAGENLIJST!$F$255,Liquiditeit!AM3*2-4,0)*0.5+(OFFSET(VRAGENLIJST!$F$255,(COLUMN(AM12)-COLUMN($F$12))*2,0))*0.5,IF(OR(VRAGENLIJST!$F$251=dropdowns!$B$74,VRAGENLIJST!$F$251=dropdowns!$C$74,VRAGENLIJST!$F$251=dropdowns!$D$74,VRAGENLIJST!$F$251=dropdowns!$E$74),OFFSET(VRAGENLIJST!$F$255,Liquiditeit!AM3*2-4,0),IF(OR(VRAGENLIJST!$F$251=dropdowns!$B$75,VRAGENLIJST!$F$251=dropdowns!$C$75,VRAGENLIJST!$F$251=dropdowns!$D$75,VRAGENLIJST!$F$251=dropdowns!$E$75),OFFSET(VRAGENLIJST!$F$255,Liquiditeit!AM3*2-6,0),IF(OR(VRAGENLIJST!$F$251=dropdowns!$B$76,VRAGENLIJST!$F$251=dropdowns!$C$76,VRAGENLIJST!$F$251=dropdowns!$D$76,VRAGENLIJST!$F$251=dropdowns!$E$76),OFFSET(VRAGENLIJST!$F$255,Liquiditeit!AM3*2-8,0),0))))))</f>
        <v>0</v>
      </c>
      <c r="AN12" s="318">
        <f ca="1">IF(VRAGENLIJST!$F$251="",0,IF(OR(VRAGENLIJST!$F$251=dropdowns!$B$72,VRAGENLIJST!$F$251=dropdowns!$C$72,VRAGENLIJST!$F$251=dropdowns!$D$72,VRAGENLIJST!$F$251=dropdowns!$E$72),OFFSET(VRAGENLIJST!$F$255,(COLUMN(AN12)-COLUMN($F$12))*2,0),IF(OR(VRAGENLIJST!$F$251=dropdowns!$B$73,VRAGENLIJST!$F$251=dropdowns!$C$73,VRAGENLIJST!$F$251=dropdowns!$D$73,VRAGENLIJST!$F$251=dropdowns!$E$73),OFFSET(VRAGENLIJST!$F$255,Liquiditeit!AN3*2-4,0)*0.5+(OFFSET(VRAGENLIJST!$F$255,(COLUMN(AN12)-COLUMN($F$12))*2,0))*0.5,IF(OR(VRAGENLIJST!$F$251=dropdowns!$B$74,VRAGENLIJST!$F$251=dropdowns!$C$74,VRAGENLIJST!$F$251=dropdowns!$D$74,VRAGENLIJST!$F$251=dropdowns!$E$74),OFFSET(VRAGENLIJST!$F$255,Liquiditeit!AN3*2-4,0),IF(OR(VRAGENLIJST!$F$251=dropdowns!$B$75,VRAGENLIJST!$F$251=dropdowns!$C$75,VRAGENLIJST!$F$251=dropdowns!$D$75,VRAGENLIJST!$F$251=dropdowns!$E$75),OFFSET(VRAGENLIJST!$F$255,Liquiditeit!AN3*2-6,0),IF(OR(VRAGENLIJST!$F$251=dropdowns!$B$76,VRAGENLIJST!$F$251=dropdowns!$C$76,VRAGENLIJST!$F$251=dropdowns!$D$76,VRAGENLIJST!$F$251=dropdowns!$E$76),OFFSET(VRAGENLIJST!$F$255,Liquiditeit!AN3*2-8,0),0))))))</f>
        <v>0</v>
      </c>
      <c r="AO12" s="318">
        <f ca="1">IF(VRAGENLIJST!$F$251="",0,IF(OR(VRAGENLIJST!$F$251=dropdowns!$B$72,VRAGENLIJST!$F$251=dropdowns!$C$72,VRAGENLIJST!$F$251=dropdowns!$D$72,VRAGENLIJST!$F$251=dropdowns!$E$72),OFFSET(VRAGENLIJST!$F$255,(COLUMN(AO12)-COLUMN($F$12))*2,0),IF(OR(VRAGENLIJST!$F$251=dropdowns!$B$73,VRAGENLIJST!$F$251=dropdowns!$C$73,VRAGENLIJST!$F$251=dropdowns!$D$73,VRAGENLIJST!$F$251=dropdowns!$E$73),OFFSET(VRAGENLIJST!$F$255,Liquiditeit!AO3*2-4,0)*0.5+(OFFSET(VRAGENLIJST!$F$255,(COLUMN(AO12)-COLUMN($F$12))*2,0))*0.5,IF(OR(VRAGENLIJST!$F$251=dropdowns!$B$74,VRAGENLIJST!$F$251=dropdowns!$C$74,VRAGENLIJST!$F$251=dropdowns!$D$74,VRAGENLIJST!$F$251=dropdowns!$E$74),OFFSET(VRAGENLIJST!$F$255,Liquiditeit!AO3*2-4,0),IF(OR(VRAGENLIJST!$F$251=dropdowns!$B$75,VRAGENLIJST!$F$251=dropdowns!$C$75,VRAGENLIJST!$F$251=dropdowns!$D$75,VRAGENLIJST!$F$251=dropdowns!$E$75),OFFSET(VRAGENLIJST!$F$255,Liquiditeit!AO3*2-6,0),IF(OR(VRAGENLIJST!$F$251=dropdowns!$B$76,VRAGENLIJST!$F$251=dropdowns!$C$76,VRAGENLIJST!$F$251=dropdowns!$D$76,VRAGENLIJST!$F$251=dropdowns!$E$76),OFFSET(VRAGENLIJST!$F$255,Liquiditeit!AO3*2-8,0),0))))))</f>
        <v>0</v>
      </c>
      <c r="AP12" s="320">
        <f ca="1">SUM(AD12:AO12)</f>
        <v>0</v>
      </c>
    </row>
    <row r="13" spans="1:42" ht="14.25" customHeight="1" x14ac:dyDescent="0.25">
      <c r="B13" s="317" t="str">
        <f>Vertaling!A274</f>
        <v xml:space="preserve"> Omzet product 3 (excl. btw)</v>
      </c>
      <c r="C13" s="319"/>
      <c r="D13" s="318">
        <f>IF(VRAGENLIJST!$H$251="",0,IF(OR(VRAGENLIJST!$H$251=dropdowns!$B$72,VRAGENLIJST!$H$251=dropdowns!$C$72,VRAGENLIJST!$H$251=dropdowns!$D$72,VRAGENLIJST!$H$251=dropdowns!$E$72),VRAGENLIJST!$H$255,IF(OR(VRAGENLIJST!$H$251=dropdowns!$B$73,VRAGENLIJST!$H$251=dropdowns!$C$73,VRAGENLIJST!$H$251=dropdowns!$D$73,VRAGENLIJST!$H$251=dropdowns!$E$73),VRAGENLIJST!$H$255*0.5,0)))</f>
        <v>0</v>
      </c>
      <c r="E13" s="318">
        <f ca="1">IF(VRAGENLIJST!$H$251="",0,IF(OR(VRAGENLIJST!$H$251=dropdowns!$B$72,VRAGENLIJST!$H$251=dropdowns!$C$72,VRAGENLIJST!$H$251=dropdowns!$D$72,VRAGENLIJST!$H$251=dropdowns!$E$72),OFFSET(VRAGENLIJST!$H$255,(COLUMN(E12)-COLUMN($D$12))*2,0),IF(OR(VRAGENLIJST!$H$251=dropdowns!$B$73,VRAGENLIJST!$H$251=dropdowns!$C$73,VRAGENLIJST!$H$251=dropdowns!$D$73,VRAGENLIJST!$H$251=dropdowns!$E$73),VRAGENLIJST!$H$255*0.5+(OFFSET(VRAGENLIJST!$H$255,(COLUMN(E12)-COLUMN($D$12))*2,0))*0.5,IF(OR(VRAGENLIJST!$H$251=dropdowns!$B$74,VRAGENLIJST!$H$251=dropdowns!$C$74,VRAGENLIJST!$H$251=dropdowns!$D$74,VRAGENLIJST!$H$251=dropdowns!$E$74),VRAGENLIJST!$H$255,0))))</f>
        <v>0</v>
      </c>
      <c r="F13" s="318">
        <f ca="1">IF(VRAGENLIJST!$H$251="",0,IF(OR(VRAGENLIJST!$H$251=dropdowns!$B$72,VRAGENLIJST!$H$251=dropdowns!$C$72,VRAGENLIJST!$H$251=dropdowns!$D$72,VRAGENLIJST!$H$251=dropdowns!$E$72),OFFSET(VRAGENLIJST!$H$255,(COLUMN(F12)-COLUMN($D$12))*2,0),IF(OR(VRAGENLIJST!$H$251=dropdowns!$B$73,VRAGENLIJST!$H$251=dropdowns!$C$73,VRAGENLIJST!$H$251=dropdowns!$D$73,VRAGENLIJST!$H$251=dropdowns!$E$73),OFFSET(VRAGENLIJST!$H$255,Liquiditeit!F3*2-4,0)*0.5+(OFFSET(VRAGENLIJST!$H$255,(COLUMN(F12)-COLUMN($D$12))*2,0))*0.5,IF(OR(VRAGENLIJST!$H$251=dropdowns!$B$74,VRAGENLIJST!$H$251=dropdowns!$C$74,VRAGENLIJST!$H$251=dropdowns!$D$74,VRAGENLIJST!$H$251=dropdowns!$E$74),OFFSET(VRAGENLIJST!$H$255,Liquiditeit!F3*2-4,0),IF(OR(VRAGENLIJST!$H$251=dropdowns!$B$75,VRAGENLIJST!$H$251=dropdowns!$C$75,VRAGENLIJST!$H$251=dropdowns!$D$75,VRAGENLIJST!$H$251=dropdowns!$E$75),VRAGENLIJST!$H$255,0)))))</f>
        <v>0</v>
      </c>
      <c r="G13" s="318">
        <f ca="1">IF(VRAGENLIJST!$H$251="",0,IF(OR(VRAGENLIJST!$H$251=dropdowns!$B$72,VRAGENLIJST!$H$251=dropdowns!$C$72,VRAGENLIJST!$H$251=dropdowns!$D$72,VRAGENLIJST!$H$251=dropdowns!$E$72),OFFSET(VRAGENLIJST!$H$255,(COLUMN(G12)-COLUMN($D$12))*2,0),IF(OR(VRAGENLIJST!$H$251=dropdowns!$B$73,VRAGENLIJST!$H$251=dropdowns!$C$73,VRAGENLIJST!$H$251=dropdowns!$D$73,VRAGENLIJST!$H$251=dropdowns!$E$73),OFFSET(VRAGENLIJST!$H$255,Liquiditeit!G3*2-4,0)*0.5+(OFFSET(VRAGENLIJST!$H$255,(COLUMN(G12)-COLUMN($D$12))*2,0))*0.5,IF(OR(VRAGENLIJST!$H$251=dropdowns!$B$74,VRAGENLIJST!$H$251=dropdowns!$C$74,VRAGENLIJST!$H$251=dropdowns!$D$74,VRAGENLIJST!$H$251=dropdowns!$E$74),OFFSET(VRAGENLIJST!$H$255,Liquiditeit!G3*2-4,0),IF(OR(VRAGENLIJST!$H$251=dropdowns!$B$75,VRAGENLIJST!$H$251=dropdowns!$C$75,VRAGENLIJST!$H$251=dropdowns!$D$75,VRAGENLIJST!$H$251=dropdowns!$E$75),OFFSET(VRAGENLIJST!$H$255,Liquiditeit!G3*2-6,0),IF(OR(VRAGENLIJST!$H$251=dropdowns!$B$76,VRAGENLIJST!$H$251=dropdowns!$C$76,VRAGENLIJST!$H$251=dropdowns!$D$76,VRAGENLIJST!$H$251=dropdowns!$E$76),VRAGENLIJST!$H$255,0))))))</f>
        <v>0</v>
      </c>
      <c r="H13" s="318">
        <f ca="1">IF(VRAGENLIJST!$H$251="",0,IF(OR(VRAGENLIJST!$H$251=dropdowns!$B$72,VRAGENLIJST!$H$251=dropdowns!$C$72,VRAGENLIJST!$H$251=dropdowns!$D$72,VRAGENLIJST!$H$251=dropdowns!$E$72),OFFSET(VRAGENLIJST!$H$255,(COLUMN(H12)-COLUMN($D$12))*2,0),IF(OR(VRAGENLIJST!$H$251=dropdowns!$B$73,VRAGENLIJST!$H$251=dropdowns!$C$73,VRAGENLIJST!$H$251=dropdowns!$D$73,VRAGENLIJST!$H$251=dropdowns!$E$73),OFFSET(VRAGENLIJST!$H$255,Liquiditeit!H3*2-4,0)*0.5+(OFFSET(VRAGENLIJST!$H$255,(COLUMN(H12)-COLUMN($D$12))*2,0))*0.5,IF(OR(VRAGENLIJST!$H$251=dropdowns!$B$74,VRAGENLIJST!$H$251=dropdowns!$C$74,VRAGENLIJST!$H$251=dropdowns!$D$74,VRAGENLIJST!$H$251=dropdowns!$E$74),OFFSET(VRAGENLIJST!$H$255,Liquiditeit!H3*2-4,0),IF(OR(VRAGENLIJST!$H$251=dropdowns!$B$75,VRAGENLIJST!$H$251=dropdowns!$C$75,VRAGENLIJST!$H$251=dropdowns!$D$75,VRAGENLIJST!$H$251=dropdowns!$E$75),OFFSET(VRAGENLIJST!$H$255,Liquiditeit!H3*2-6,0),IF(OR(VRAGENLIJST!$H$251=dropdowns!$B$76,VRAGENLIJST!$H$251=dropdowns!$C$76,VRAGENLIJST!$H$251=dropdowns!$D$76,VRAGENLIJST!$H$251=dropdowns!$E$76),OFFSET(VRAGENLIJST!$H$255,Liquiditeit!H3*2-8,0),0))))))</f>
        <v>0</v>
      </c>
      <c r="I13" s="318">
        <f ca="1">IF(VRAGENLIJST!$H$251="",0,IF(OR(VRAGENLIJST!$H$251=dropdowns!$B$72,VRAGENLIJST!$H$251=dropdowns!$C$72,VRAGENLIJST!$H$251=dropdowns!$D$72,VRAGENLIJST!$H$251=dropdowns!$E$72),OFFSET(VRAGENLIJST!$H$255,(COLUMN(I12)-COLUMN($D$12))*2,0),IF(OR(VRAGENLIJST!$H$251=dropdowns!$B$73,VRAGENLIJST!$H$251=dropdowns!$C$73,VRAGENLIJST!$H$251=dropdowns!$D$73,VRAGENLIJST!$H$251=dropdowns!$E$73),OFFSET(VRAGENLIJST!$H$255,Liquiditeit!I3*2-4,0)*0.5+(OFFSET(VRAGENLIJST!$H$255,(COLUMN(I12)-COLUMN($D$12))*2,0))*0.5,IF(OR(VRAGENLIJST!$H$251=dropdowns!$B$74,VRAGENLIJST!$H$251=dropdowns!$C$74,VRAGENLIJST!$H$251=dropdowns!$D$74,VRAGENLIJST!$H$251=dropdowns!$E$74),OFFSET(VRAGENLIJST!$H$255,Liquiditeit!I3*2-4,0),IF(OR(VRAGENLIJST!$H$251=dropdowns!$B$75,VRAGENLIJST!$H$251=dropdowns!$C$75,VRAGENLIJST!$H$251=dropdowns!$D$75,VRAGENLIJST!$H$251=dropdowns!$E$75),OFFSET(VRAGENLIJST!$H$255,Liquiditeit!I3*2-6,0),IF(OR(VRAGENLIJST!$H$251=dropdowns!$B$76,VRAGENLIJST!$H$251=dropdowns!$C$76,VRAGENLIJST!$H$251=dropdowns!$D$76,VRAGENLIJST!$H$251=dropdowns!$E$76),OFFSET(VRAGENLIJST!$H$255,Liquiditeit!I3*2-8,0),0))))))</f>
        <v>0</v>
      </c>
      <c r="J13" s="318">
        <f ca="1">IF(VRAGENLIJST!$H$251="",0,IF(OR(VRAGENLIJST!$H$251=dropdowns!$B$72,VRAGENLIJST!$H$251=dropdowns!$C$72,VRAGENLIJST!$H$251=dropdowns!$D$72,VRAGENLIJST!$H$251=dropdowns!$E$72),OFFSET(VRAGENLIJST!$H$255,(COLUMN(J12)-COLUMN($D$12))*2,0),IF(OR(VRAGENLIJST!$H$251=dropdowns!$B$73,VRAGENLIJST!$H$251=dropdowns!$C$73,VRAGENLIJST!$H$251=dropdowns!$D$73,VRAGENLIJST!$H$251=dropdowns!$E$73),OFFSET(VRAGENLIJST!$H$255,Liquiditeit!J3*2-4,0)*0.5+(OFFSET(VRAGENLIJST!$H$255,(COLUMN(J12)-COLUMN($D$12))*2,0))*0.5,IF(OR(VRAGENLIJST!$H$251=dropdowns!$B$74,VRAGENLIJST!$H$251=dropdowns!$C$74,VRAGENLIJST!$H$251=dropdowns!$D$74,VRAGENLIJST!$H$251=dropdowns!$E$74),OFFSET(VRAGENLIJST!$H$255,Liquiditeit!J3*2-4,0),IF(OR(VRAGENLIJST!$H$251=dropdowns!$B$75,VRAGENLIJST!$H$251=dropdowns!$C$75,VRAGENLIJST!$H$251=dropdowns!$D$75,VRAGENLIJST!$H$251=dropdowns!$E$75),OFFSET(VRAGENLIJST!$H$255,Liquiditeit!J3*2-6,0),IF(OR(VRAGENLIJST!$H$251=dropdowns!$B$76,VRAGENLIJST!$H$251=dropdowns!$C$76,VRAGENLIJST!$H$251=dropdowns!$D$76,VRAGENLIJST!$H$251=dropdowns!$E$76),OFFSET(VRAGENLIJST!$H$255,Liquiditeit!J3*2-8,0),0))))))</f>
        <v>0</v>
      </c>
      <c r="K13" s="318">
        <f ca="1">IF(VRAGENLIJST!$H$251="",0,IF(OR(VRAGENLIJST!$H$251=dropdowns!$B$72,VRAGENLIJST!$H$251=dropdowns!$C$72,VRAGENLIJST!$H$251=dropdowns!$D$72,VRAGENLIJST!$H$251=dropdowns!$E$72),OFFSET(VRAGENLIJST!$H$255,(COLUMN(K12)-COLUMN($D$12))*2,0),IF(OR(VRAGENLIJST!$H$251=dropdowns!$B$73,VRAGENLIJST!$H$251=dropdowns!$C$73,VRAGENLIJST!$H$251=dropdowns!$D$73,VRAGENLIJST!$H$251=dropdowns!$E$73),OFFSET(VRAGENLIJST!$H$255,Liquiditeit!K3*2-4,0)*0.5+(OFFSET(VRAGENLIJST!$H$255,(COLUMN(K12)-COLUMN($D$12))*2,0))*0.5,IF(OR(VRAGENLIJST!$H$251=dropdowns!$B$74,VRAGENLIJST!$H$251=dropdowns!$C$74,VRAGENLIJST!$H$251=dropdowns!$D$74,VRAGENLIJST!$H$251=dropdowns!$E$74),OFFSET(VRAGENLIJST!$H$255,Liquiditeit!K3*2-4,0),IF(OR(VRAGENLIJST!$H$251=dropdowns!$B$75,VRAGENLIJST!$H$251=dropdowns!$C$75,VRAGENLIJST!$H$251=dropdowns!$D$75,VRAGENLIJST!$H$251=dropdowns!$E$75),OFFSET(VRAGENLIJST!$H$255,Liquiditeit!K3*2-6,0),IF(OR(VRAGENLIJST!$H$251=dropdowns!$B$76,VRAGENLIJST!$H$251=dropdowns!$C$76,VRAGENLIJST!$H$251=dropdowns!$D$76,VRAGENLIJST!$H$251=dropdowns!$E$76),OFFSET(VRAGENLIJST!$H$255,Liquiditeit!K3*2-8,0),0))))))</f>
        <v>0</v>
      </c>
      <c r="L13" s="318">
        <f ca="1">IF(VRAGENLIJST!$H$251="",0,IF(OR(VRAGENLIJST!$H$251=dropdowns!$B$72,VRAGENLIJST!$H$251=dropdowns!$C$72,VRAGENLIJST!$H$251=dropdowns!$D$72,VRAGENLIJST!$H$251=dropdowns!$E$72),OFFSET(VRAGENLIJST!$H$255,(COLUMN(L12)-COLUMN($D$12))*2,0),IF(OR(VRAGENLIJST!$H$251=dropdowns!$B$73,VRAGENLIJST!$H$251=dropdowns!$C$73,VRAGENLIJST!$H$251=dropdowns!$D$73,VRAGENLIJST!$H$251=dropdowns!$E$73),OFFSET(VRAGENLIJST!$H$255,Liquiditeit!L3*2-4,0)*0.5+(OFFSET(VRAGENLIJST!$H$255,(COLUMN(L12)-COLUMN($D$12))*2,0))*0.5,IF(OR(VRAGENLIJST!$H$251=dropdowns!$B$74,VRAGENLIJST!$H$251=dropdowns!$C$74,VRAGENLIJST!$H$251=dropdowns!$D$74,VRAGENLIJST!$H$251=dropdowns!$E$74),OFFSET(VRAGENLIJST!$H$255,Liquiditeit!L3*2-4,0),IF(OR(VRAGENLIJST!$H$251=dropdowns!$B$75,VRAGENLIJST!$H$251=dropdowns!$C$75,VRAGENLIJST!$H$251=dropdowns!$D$75,VRAGENLIJST!$H$251=dropdowns!$E$75),OFFSET(VRAGENLIJST!$H$255,Liquiditeit!L3*2-6,0),IF(OR(VRAGENLIJST!$H$251=dropdowns!$B$76,VRAGENLIJST!$H$251=dropdowns!$C$76,VRAGENLIJST!$H$251=dropdowns!$D$76,VRAGENLIJST!$H$251=dropdowns!$E$76),OFFSET(VRAGENLIJST!$H$255,Liquiditeit!L3*2-8,0),0))))))</f>
        <v>0</v>
      </c>
      <c r="M13" s="318">
        <f ca="1">IF(VRAGENLIJST!$H$251="",0,IF(OR(VRAGENLIJST!$H$251=dropdowns!$B$72,VRAGENLIJST!$H$251=dropdowns!$C$72,VRAGENLIJST!$H$251=dropdowns!$D$72,VRAGENLIJST!$H$251=dropdowns!$E$72),OFFSET(VRAGENLIJST!$H$255,(COLUMN(M12)-COLUMN($D$12))*2,0),IF(OR(VRAGENLIJST!$H$251=dropdowns!$B$73,VRAGENLIJST!$H$251=dropdowns!$C$73,VRAGENLIJST!$H$251=dropdowns!$D$73,VRAGENLIJST!$H$251=dropdowns!$E$73),OFFSET(VRAGENLIJST!$H$255,Liquiditeit!M3*2-4,0)*0.5+(OFFSET(VRAGENLIJST!$H$255,(COLUMN(M12)-COLUMN($D$12))*2,0))*0.5,IF(OR(VRAGENLIJST!$H$251=dropdowns!$B$74,VRAGENLIJST!$H$251=dropdowns!$C$74,VRAGENLIJST!$H$251=dropdowns!$D$74,VRAGENLIJST!$H$251=dropdowns!$E$74),OFFSET(VRAGENLIJST!$H$255,Liquiditeit!M3*2-4,0),IF(OR(VRAGENLIJST!$H$251=dropdowns!$B$75,VRAGENLIJST!$H$251=dropdowns!$C$75,VRAGENLIJST!$H$251=dropdowns!$D$75,VRAGENLIJST!$H$251=dropdowns!$E$75),OFFSET(VRAGENLIJST!$H$255,Liquiditeit!M3*2-6,0),IF(OR(VRAGENLIJST!$H$251=dropdowns!$B$76,VRAGENLIJST!$H$251=dropdowns!$C$76,VRAGENLIJST!$H$251=dropdowns!$D$76,VRAGENLIJST!$H$251=dropdowns!$E$76),OFFSET(VRAGENLIJST!$H$255,Liquiditeit!M3*2-8,0),0))))))</f>
        <v>0</v>
      </c>
      <c r="N13" s="318">
        <f ca="1">IF(VRAGENLIJST!$H$251="",0,IF(OR(VRAGENLIJST!$H$251=dropdowns!$B$72,VRAGENLIJST!$H$251=dropdowns!$C$72,VRAGENLIJST!$H$251=dropdowns!$D$72,VRAGENLIJST!$H$251=dropdowns!$E$72),OFFSET(VRAGENLIJST!$H$255,(COLUMN(N12)-COLUMN($D$12))*2,0),IF(OR(VRAGENLIJST!$H$251=dropdowns!$B$73,VRAGENLIJST!$H$251=dropdowns!$C$73,VRAGENLIJST!$H$251=dropdowns!$D$73,VRAGENLIJST!$H$251=dropdowns!$E$73),OFFSET(VRAGENLIJST!$H$255,Liquiditeit!N3*2-4,0)*0.5+(OFFSET(VRAGENLIJST!$H$255,(COLUMN(N12)-COLUMN($D$12))*2,0))*0.5,IF(OR(VRAGENLIJST!$H$251=dropdowns!$B$74,VRAGENLIJST!$H$251=dropdowns!$C$74,VRAGENLIJST!$H$251=dropdowns!$D$74,VRAGENLIJST!$H$251=dropdowns!$E$74),OFFSET(VRAGENLIJST!$H$255,Liquiditeit!N3*2-4,0),IF(OR(VRAGENLIJST!$H$251=dropdowns!$B$75,VRAGENLIJST!$H$251=dropdowns!$C$75,VRAGENLIJST!$H$251=dropdowns!$D$75,VRAGENLIJST!$H$251=dropdowns!$E$75),OFFSET(VRAGENLIJST!$H$255,Liquiditeit!N3*2-6,0),IF(OR(VRAGENLIJST!$H$251=dropdowns!$B$76,VRAGENLIJST!$H$251=dropdowns!$C$76,VRAGENLIJST!$H$251=dropdowns!$D$76,VRAGENLIJST!$H$251=dropdowns!$E$76),OFFSET(VRAGENLIJST!$H$255,Liquiditeit!N3*2-8,0),0))))))</f>
        <v>0</v>
      </c>
      <c r="O13" s="318">
        <f ca="1">IF(VRAGENLIJST!$H$251="",0,IF(OR(VRAGENLIJST!$H$251=dropdowns!$B$72,VRAGENLIJST!$H$251=dropdowns!$C$72,VRAGENLIJST!$H$251=dropdowns!$D$72,VRAGENLIJST!$H$251=dropdowns!$E$72),OFFSET(VRAGENLIJST!$H$255,(COLUMN(O12)-COLUMN($D$12))*2,0),IF(OR(VRAGENLIJST!$H$251=dropdowns!$B$73,VRAGENLIJST!$H$251=dropdowns!$C$73,VRAGENLIJST!$H$251=dropdowns!$D$73,VRAGENLIJST!$H$251=dropdowns!$E$73),OFFSET(VRAGENLIJST!$H$255,Liquiditeit!O3*2-4,0)*0.5+(OFFSET(VRAGENLIJST!$H$255,(COLUMN(O12)-COLUMN($D$12))*2,0))*0.5,IF(OR(VRAGENLIJST!$H$251=dropdowns!$B$74,VRAGENLIJST!$H$251=dropdowns!$C$74,VRAGENLIJST!$H$251=dropdowns!$D$74,VRAGENLIJST!$H$251=dropdowns!$E$74),OFFSET(VRAGENLIJST!$H$255,Liquiditeit!O3*2-4,0),IF(OR(VRAGENLIJST!$H$251=dropdowns!$B$75,VRAGENLIJST!$H$251=dropdowns!$C$75,VRAGENLIJST!$H$251=dropdowns!$D$75,VRAGENLIJST!$H$251=dropdowns!$E$75),OFFSET(VRAGENLIJST!$H$255,Liquiditeit!O3*2-6,0),IF(OR(VRAGENLIJST!$H$251=dropdowns!$B$76,VRAGENLIJST!$H$251=dropdowns!$C$76,VRAGENLIJST!$H$251=dropdowns!$D$76,VRAGENLIJST!$H$251=dropdowns!$E$76),OFFSET(VRAGENLIJST!$H$255,Liquiditeit!O3*2-8,0),0))))))</f>
        <v>0</v>
      </c>
      <c r="P13" s="320">
        <f ca="1">SUM(D13:O13)</f>
        <v>0</v>
      </c>
      <c r="Q13" s="318">
        <f ca="1">IF(VRAGENLIJST!$H$251="",0,IF(OR(VRAGENLIJST!$H$251=dropdowns!$B$72,VRAGENLIJST!$H$251=dropdowns!$C$72,VRAGENLIJST!$H$251=dropdowns!$D$72,VRAGENLIJST!$H$251=dropdowns!$E$72),OFFSET(VRAGENLIJST!$H$255,(COLUMN(Q12)-COLUMN($E$12))*2,0),IF(OR(VRAGENLIJST!$H$251=dropdowns!$B$73,VRAGENLIJST!$H$251=dropdowns!$C$73,VRAGENLIJST!$H$251=dropdowns!$D$73,VRAGENLIJST!$H$251=dropdowns!$E$73),OFFSET(VRAGENLIJST!$H$255,Liquiditeit!Q3*2-4,0)*0.5+(OFFSET(VRAGENLIJST!$H$255,(COLUMN(Q12)-COLUMN($E$12))*2,0))*0.5,IF(OR(VRAGENLIJST!$H$251=dropdowns!$B$74,VRAGENLIJST!$H$251=dropdowns!$C$74,VRAGENLIJST!$H$251=dropdowns!$D$74,VRAGENLIJST!$H$251=dropdowns!$E$74),OFFSET(VRAGENLIJST!$H$255,Liquiditeit!Q3*2-4,0),IF(OR(VRAGENLIJST!$H$251=dropdowns!$B$75,VRAGENLIJST!$H$251=dropdowns!$C$75,VRAGENLIJST!$H$251=dropdowns!$D$75,VRAGENLIJST!$H$251=dropdowns!$E$75),OFFSET(VRAGENLIJST!$H$255,Liquiditeit!Q3*2-6,0),IF(OR(VRAGENLIJST!$H$251=dropdowns!$B$76,VRAGENLIJST!$H$251=dropdowns!$C$76,VRAGENLIJST!$H$251=dropdowns!$D$76,VRAGENLIJST!$H$251=dropdowns!$E$76),OFFSET(VRAGENLIJST!$H$255,Liquiditeit!Q3*2-8,0),0))))))</f>
        <v>0</v>
      </c>
      <c r="R13" s="318">
        <f ca="1">IF(VRAGENLIJST!$H$251="",0,IF(OR(VRAGENLIJST!$H$251=dropdowns!$B$72,VRAGENLIJST!$H$251=dropdowns!$C$72,VRAGENLIJST!$H$251=dropdowns!$D$72,VRAGENLIJST!$H$251=dropdowns!$E$72),OFFSET(VRAGENLIJST!$H$255,(COLUMN(R12)-COLUMN($E$12))*2,0),IF(OR(VRAGENLIJST!$H$251=dropdowns!$B$73,VRAGENLIJST!$H$251=dropdowns!$C$73,VRAGENLIJST!$H$251=dropdowns!$D$73,VRAGENLIJST!$H$251=dropdowns!$E$73),OFFSET(VRAGENLIJST!$H$255,Liquiditeit!R3*2-4,0)*0.5+(OFFSET(VRAGENLIJST!$H$255,(COLUMN(R12)-COLUMN($E$12))*2,0))*0.5,IF(OR(VRAGENLIJST!$H$251=dropdowns!$B$74,VRAGENLIJST!$H$251=dropdowns!$C$74,VRAGENLIJST!$H$251=dropdowns!$D$74,VRAGENLIJST!$H$251=dropdowns!$E$74),OFFSET(VRAGENLIJST!$H$255,Liquiditeit!R3*2-4,0),IF(OR(VRAGENLIJST!$H$251=dropdowns!$B$75,VRAGENLIJST!$H$251=dropdowns!$C$75,VRAGENLIJST!$H$251=dropdowns!$D$75,VRAGENLIJST!$H$251=dropdowns!$E$75),OFFSET(VRAGENLIJST!$H$255,Liquiditeit!R3*2-6,0),IF(OR(VRAGENLIJST!$H$251=dropdowns!$B$76,VRAGENLIJST!$H$251=dropdowns!$C$76,VRAGENLIJST!$H$251=dropdowns!$D$76,VRAGENLIJST!$H$251=dropdowns!$E$76),OFFSET(VRAGENLIJST!$H$255,Liquiditeit!R3*2-8,0),0))))))</f>
        <v>0</v>
      </c>
      <c r="S13" s="318">
        <f ca="1">IF(VRAGENLIJST!$H$251="",0,IF(OR(VRAGENLIJST!$H$251=dropdowns!$B$72,VRAGENLIJST!$H$251=dropdowns!$C$72,VRAGENLIJST!$H$251=dropdowns!$D$72,VRAGENLIJST!$H$251=dropdowns!$E$72),OFFSET(VRAGENLIJST!$H$255,(COLUMN(S12)-COLUMN($E$12))*2,0),IF(OR(VRAGENLIJST!$H$251=dropdowns!$B$73,VRAGENLIJST!$H$251=dropdowns!$C$73,VRAGENLIJST!$H$251=dropdowns!$D$73,VRAGENLIJST!$H$251=dropdowns!$E$73),OFFSET(VRAGENLIJST!$H$255,Liquiditeit!S3*2-4,0)*0.5+(OFFSET(VRAGENLIJST!$H$255,(COLUMN(S12)-COLUMN($E$12))*2,0))*0.5,IF(OR(VRAGENLIJST!$H$251=dropdowns!$B$74,VRAGENLIJST!$H$251=dropdowns!$C$74,VRAGENLIJST!$H$251=dropdowns!$D$74,VRAGENLIJST!$H$251=dropdowns!$E$74),OFFSET(VRAGENLIJST!$H$255,Liquiditeit!S3*2-4,0),IF(OR(VRAGENLIJST!$H$251=dropdowns!$B$75,VRAGENLIJST!$H$251=dropdowns!$C$75,VRAGENLIJST!$H$251=dropdowns!$D$75,VRAGENLIJST!$H$251=dropdowns!$E$75),OFFSET(VRAGENLIJST!$H$255,Liquiditeit!S3*2-6,0),IF(OR(VRAGENLIJST!$H$251=dropdowns!$B$76,VRAGENLIJST!$H$251=dropdowns!$C$76,VRAGENLIJST!$H$251=dropdowns!$D$76,VRAGENLIJST!$H$251=dropdowns!$E$76),OFFSET(VRAGENLIJST!$H$255,Liquiditeit!S3*2-8,0),0))))))</f>
        <v>0</v>
      </c>
      <c r="T13" s="318">
        <f ca="1">IF(VRAGENLIJST!$H$251="",0,IF(OR(VRAGENLIJST!$H$251=dropdowns!$B$72,VRAGENLIJST!$H$251=dropdowns!$C$72,VRAGENLIJST!$H$251=dropdowns!$D$72,VRAGENLIJST!$H$251=dropdowns!$E$72),OFFSET(VRAGENLIJST!$H$255,(COLUMN(T12)-COLUMN($E$12))*2,0),IF(OR(VRAGENLIJST!$H$251=dropdowns!$B$73,VRAGENLIJST!$H$251=dropdowns!$C$73,VRAGENLIJST!$H$251=dropdowns!$D$73,VRAGENLIJST!$H$251=dropdowns!$E$73),OFFSET(VRAGENLIJST!$H$255,Liquiditeit!T3*2-4,0)*0.5+(OFFSET(VRAGENLIJST!$H$255,(COLUMN(T12)-COLUMN($E$12))*2,0))*0.5,IF(OR(VRAGENLIJST!$H$251=dropdowns!$B$74,VRAGENLIJST!$H$251=dropdowns!$C$74,VRAGENLIJST!$H$251=dropdowns!$D$74,VRAGENLIJST!$H$251=dropdowns!$E$74),OFFSET(VRAGENLIJST!$H$255,Liquiditeit!T3*2-4,0),IF(OR(VRAGENLIJST!$H$251=dropdowns!$B$75,VRAGENLIJST!$H$251=dropdowns!$C$75,VRAGENLIJST!$H$251=dropdowns!$D$75,VRAGENLIJST!$H$251=dropdowns!$E$75),OFFSET(VRAGENLIJST!$H$255,Liquiditeit!T3*2-6,0),IF(OR(VRAGENLIJST!$H$251=dropdowns!$B$76,VRAGENLIJST!$H$251=dropdowns!$C$76,VRAGENLIJST!$H$251=dropdowns!$D$76,VRAGENLIJST!$H$251=dropdowns!$E$76),OFFSET(VRAGENLIJST!$H$255,Liquiditeit!T3*2-8,0),0))))))</f>
        <v>0</v>
      </c>
      <c r="U13" s="318">
        <f ca="1">IF(VRAGENLIJST!$H$251="",0,IF(OR(VRAGENLIJST!$H$251=dropdowns!$B$72,VRAGENLIJST!$H$251=dropdowns!$C$72,VRAGENLIJST!$H$251=dropdowns!$D$72,VRAGENLIJST!$H$251=dropdowns!$E$72),OFFSET(VRAGENLIJST!$H$255,(COLUMN(U12)-COLUMN($E$12))*2,0),IF(OR(VRAGENLIJST!$H$251=dropdowns!$B$73,VRAGENLIJST!$H$251=dropdowns!$C$73,VRAGENLIJST!$H$251=dropdowns!$D$73,VRAGENLIJST!$H$251=dropdowns!$E$73),OFFSET(VRAGENLIJST!$H$255,Liquiditeit!U3*2-4,0)*0.5+(OFFSET(VRAGENLIJST!$H$255,(COLUMN(U12)-COLUMN($E$12))*2,0))*0.5,IF(OR(VRAGENLIJST!$H$251=dropdowns!$B$74,VRAGENLIJST!$H$251=dropdowns!$C$74,VRAGENLIJST!$H$251=dropdowns!$D$74,VRAGENLIJST!$H$251=dropdowns!$E$74),OFFSET(VRAGENLIJST!$H$255,Liquiditeit!U3*2-4,0),IF(OR(VRAGENLIJST!$H$251=dropdowns!$B$75,VRAGENLIJST!$H$251=dropdowns!$C$75,VRAGENLIJST!$H$251=dropdowns!$D$75,VRAGENLIJST!$H$251=dropdowns!$E$75),OFFSET(VRAGENLIJST!$H$255,Liquiditeit!U3*2-6,0),IF(OR(VRAGENLIJST!$H$251=dropdowns!$B$76,VRAGENLIJST!$H$251=dropdowns!$C$76,VRAGENLIJST!$H$251=dropdowns!$D$76,VRAGENLIJST!$H$251=dropdowns!$E$76),OFFSET(VRAGENLIJST!$H$255,Liquiditeit!U3*2-8,0),0))))))</f>
        <v>0</v>
      </c>
      <c r="V13" s="318">
        <f ca="1">IF(VRAGENLIJST!$H$251="",0,IF(OR(VRAGENLIJST!$H$251=dropdowns!$B$72,VRAGENLIJST!$H$251=dropdowns!$C$72,VRAGENLIJST!$H$251=dropdowns!$D$72,VRAGENLIJST!$H$251=dropdowns!$E$72),OFFSET(VRAGENLIJST!$H$255,(COLUMN(V12)-COLUMN($E$12))*2,0),IF(OR(VRAGENLIJST!$H$251=dropdowns!$B$73,VRAGENLIJST!$H$251=dropdowns!$C$73,VRAGENLIJST!$H$251=dropdowns!$D$73,VRAGENLIJST!$H$251=dropdowns!$E$73),OFFSET(VRAGENLIJST!$H$255,Liquiditeit!V3*2-4,0)*0.5+(OFFSET(VRAGENLIJST!$H$255,(COLUMN(V12)-COLUMN($E$12))*2,0))*0.5,IF(OR(VRAGENLIJST!$H$251=dropdowns!$B$74,VRAGENLIJST!$H$251=dropdowns!$C$74,VRAGENLIJST!$H$251=dropdowns!$D$74,VRAGENLIJST!$H$251=dropdowns!$E$74),OFFSET(VRAGENLIJST!$H$255,Liquiditeit!V3*2-4,0),IF(OR(VRAGENLIJST!$H$251=dropdowns!$B$75,VRAGENLIJST!$H$251=dropdowns!$C$75,VRAGENLIJST!$H$251=dropdowns!$D$75,VRAGENLIJST!$H$251=dropdowns!$E$75),OFFSET(VRAGENLIJST!$H$255,Liquiditeit!V3*2-6,0),IF(OR(VRAGENLIJST!$H$251=dropdowns!$B$76,VRAGENLIJST!$H$251=dropdowns!$C$76,VRAGENLIJST!$H$251=dropdowns!$D$76,VRAGENLIJST!$H$251=dropdowns!$E$76),OFFSET(VRAGENLIJST!$H$255,Liquiditeit!V3*2-8,0),0))))))</f>
        <v>0</v>
      </c>
      <c r="W13" s="318">
        <f ca="1">IF(VRAGENLIJST!$H$251="",0,IF(OR(VRAGENLIJST!$H$251=dropdowns!$B$72,VRAGENLIJST!$H$251=dropdowns!$C$72,VRAGENLIJST!$H$251=dropdowns!$D$72,VRAGENLIJST!$H$251=dropdowns!$E$72),OFFSET(VRAGENLIJST!$H$255,(COLUMN(W12)-COLUMN($E$12))*2,0),IF(OR(VRAGENLIJST!$H$251=dropdowns!$B$73,VRAGENLIJST!$H$251=dropdowns!$C$73,VRAGENLIJST!$H$251=dropdowns!$D$73,VRAGENLIJST!$H$251=dropdowns!$E$73),OFFSET(VRAGENLIJST!$H$255,Liquiditeit!W3*2-4,0)*0.5+(OFFSET(VRAGENLIJST!$H$255,(COLUMN(W12)-COLUMN($E$12))*2,0))*0.5,IF(OR(VRAGENLIJST!$H$251=dropdowns!$B$74,VRAGENLIJST!$H$251=dropdowns!$C$74,VRAGENLIJST!$H$251=dropdowns!$D$74,VRAGENLIJST!$H$251=dropdowns!$E$74),OFFSET(VRAGENLIJST!$H$255,Liquiditeit!W3*2-4,0),IF(OR(VRAGENLIJST!$H$251=dropdowns!$B$75,VRAGENLIJST!$H$251=dropdowns!$C$75,VRAGENLIJST!$H$251=dropdowns!$D$75,VRAGENLIJST!$H$251=dropdowns!$E$75),OFFSET(VRAGENLIJST!$H$255,Liquiditeit!W3*2-6,0),IF(OR(VRAGENLIJST!$H$251=dropdowns!$B$76,VRAGENLIJST!$H$251=dropdowns!$C$76,VRAGENLIJST!$H$251=dropdowns!$D$76,VRAGENLIJST!$H$251=dropdowns!$E$76),OFFSET(VRAGENLIJST!$H$255,Liquiditeit!W3*2-8,0),0))))))</f>
        <v>0</v>
      </c>
      <c r="X13" s="318">
        <f ca="1">IF(VRAGENLIJST!$H$251="",0,IF(OR(VRAGENLIJST!$H$251=dropdowns!$B$72,VRAGENLIJST!$H$251=dropdowns!$C$72,VRAGENLIJST!$H$251=dropdowns!$D$72,VRAGENLIJST!$H$251=dropdowns!$E$72),OFFSET(VRAGENLIJST!$H$255,(COLUMN(X12)-COLUMN($E$12))*2,0),IF(OR(VRAGENLIJST!$H$251=dropdowns!$B$73,VRAGENLIJST!$H$251=dropdowns!$C$73,VRAGENLIJST!$H$251=dropdowns!$D$73,VRAGENLIJST!$H$251=dropdowns!$E$73),OFFSET(VRAGENLIJST!$H$255,Liquiditeit!X3*2-4,0)*0.5+(OFFSET(VRAGENLIJST!$H$255,(COLUMN(X12)-COLUMN($E$12))*2,0))*0.5,IF(OR(VRAGENLIJST!$H$251=dropdowns!$B$74,VRAGENLIJST!$H$251=dropdowns!$C$74,VRAGENLIJST!$H$251=dropdowns!$D$74,VRAGENLIJST!$H$251=dropdowns!$E$74),OFFSET(VRAGENLIJST!$H$255,Liquiditeit!X3*2-4,0),IF(OR(VRAGENLIJST!$H$251=dropdowns!$B$75,VRAGENLIJST!$H$251=dropdowns!$C$75,VRAGENLIJST!$H$251=dropdowns!$D$75,VRAGENLIJST!$H$251=dropdowns!$E$75),OFFSET(VRAGENLIJST!$H$255,Liquiditeit!X3*2-6,0),IF(OR(VRAGENLIJST!$H$251=dropdowns!$B$76,VRAGENLIJST!$H$251=dropdowns!$C$76,VRAGENLIJST!$H$251=dropdowns!$D$76,VRAGENLIJST!$H$251=dropdowns!$E$76),OFFSET(VRAGENLIJST!$H$255,Liquiditeit!X3*2-8,0),0))))))</f>
        <v>0</v>
      </c>
      <c r="Y13" s="318">
        <f ca="1">IF(VRAGENLIJST!$H$251="",0,IF(OR(VRAGENLIJST!$H$251=dropdowns!$B$72,VRAGENLIJST!$H$251=dropdowns!$C$72,VRAGENLIJST!$H$251=dropdowns!$D$72,VRAGENLIJST!$H$251=dropdowns!$E$72),OFFSET(VRAGENLIJST!$H$255,(COLUMN(Y12)-COLUMN($E$12))*2,0),IF(OR(VRAGENLIJST!$H$251=dropdowns!$B$73,VRAGENLIJST!$H$251=dropdowns!$C$73,VRAGENLIJST!$H$251=dropdowns!$D$73,VRAGENLIJST!$H$251=dropdowns!$E$73),OFFSET(VRAGENLIJST!$H$255,Liquiditeit!Y3*2-4,0)*0.5+(OFFSET(VRAGENLIJST!$H$255,(COLUMN(Y12)-COLUMN($E$12))*2,0))*0.5,IF(OR(VRAGENLIJST!$H$251=dropdowns!$B$74,VRAGENLIJST!$H$251=dropdowns!$C$74,VRAGENLIJST!$H$251=dropdowns!$D$74,VRAGENLIJST!$H$251=dropdowns!$E$74),OFFSET(VRAGENLIJST!$H$255,Liquiditeit!Y3*2-4,0),IF(OR(VRAGENLIJST!$H$251=dropdowns!$B$75,VRAGENLIJST!$H$251=dropdowns!$C$75,VRAGENLIJST!$H$251=dropdowns!$D$75,VRAGENLIJST!$H$251=dropdowns!$E$75),OFFSET(VRAGENLIJST!$H$255,Liquiditeit!Y3*2-6,0),IF(OR(VRAGENLIJST!$H$251=dropdowns!$B$76,VRAGENLIJST!$H$251=dropdowns!$C$76,VRAGENLIJST!$H$251=dropdowns!$D$76,VRAGENLIJST!$H$251=dropdowns!$E$76),OFFSET(VRAGENLIJST!$H$255,Liquiditeit!Y3*2-8,0),0))))))</f>
        <v>0</v>
      </c>
      <c r="Z13" s="318">
        <f ca="1">IF(VRAGENLIJST!$H$251="",0,IF(OR(VRAGENLIJST!$H$251=dropdowns!$B$72,VRAGENLIJST!$H$251=dropdowns!$C$72,VRAGENLIJST!$H$251=dropdowns!$D$72,VRAGENLIJST!$H$251=dropdowns!$E$72),OFFSET(VRAGENLIJST!$H$255,(COLUMN(Z12)-COLUMN($E$12))*2,0),IF(OR(VRAGENLIJST!$H$251=dropdowns!$B$73,VRAGENLIJST!$H$251=dropdowns!$C$73,VRAGENLIJST!$H$251=dropdowns!$D$73,VRAGENLIJST!$H$251=dropdowns!$E$73),OFFSET(VRAGENLIJST!$H$255,Liquiditeit!Z3*2-4,0)*0.5+(OFFSET(VRAGENLIJST!$H$255,(COLUMN(Z12)-COLUMN($E$12))*2,0))*0.5,IF(OR(VRAGENLIJST!$H$251=dropdowns!$B$74,VRAGENLIJST!$H$251=dropdowns!$C$74,VRAGENLIJST!$H$251=dropdowns!$D$74,VRAGENLIJST!$H$251=dropdowns!$E$74),OFFSET(VRAGENLIJST!$H$255,Liquiditeit!Z3*2-4,0),IF(OR(VRAGENLIJST!$H$251=dropdowns!$B$75,VRAGENLIJST!$H$251=dropdowns!$C$75,VRAGENLIJST!$H$251=dropdowns!$D$75,VRAGENLIJST!$H$251=dropdowns!$E$75),OFFSET(VRAGENLIJST!$H$255,Liquiditeit!Z3*2-6,0),IF(OR(VRAGENLIJST!$H$251=dropdowns!$B$76,VRAGENLIJST!$H$251=dropdowns!$C$76,VRAGENLIJST!$H$251=dropdowns!$D$76,VRAGENLIJST!$H$251=dropdowns!$E$76),OFFSET(VRAGENLIJST!$H$255,Liquiditeit!Z3*2-8,0),0))))))</f>
        <v>0</v>
      </c>
      <c r="AA13" s="318">
        <f ca="1">IF(VRAGENLIJST!$H$251="",0,IF(OR(VRAGENLIJST!$H$251=dropdowns!$B$72,VRAGENLIJST!$H$251=dropdowns!$C$72,VRAGENLIJST!$H$251=dropdowns!$D$72,VRAGENLIJST!$H$251=dropdowns!$E$72),OFFSET(VRAGENLIJST!$H$255,(COLUMN(AA12)-COLUMN($E$12))*2,0),IF(OR(VRAGENLIJST!$H$251=dropdowns!$B$73,VRAGENLIJST!$H$251=dropdowns!$C$73,VRAGENLIJST!$H$251=dropdowns!$D$73,VRAGENLIJST!$H$251=dropdowns!$E$73),OFFSET(VRAGENLIJST!$H$255,Liquiditeit!AA3*2-4,0)*0.5+(OFFSET(VRAGENLIJST!$H$255,(COLUMN(AA12)-COLUMN($E$12))*2,0))*0.5,IF(OR(VRAGENLIJST!$H$251=dropdowns!$B$74,VRAGENLIJST!$H$251=dropdowns!$C$74,VRAGENLIJST!$H$251=dropdowns!$D$74,VRAGENLIJST!$H$251=dropdowns!$E$74),OFFSET(VRAGENLIJST!$H$255,Liquiditeit!AA3*2-4,0),IF(OR(VRAGENLIJST!$H$251=dropdowns!$B$75,VRAGENLIJST!$H$251=dropdowns!$C$75,VRAGENLIJST!$H$251=dropdowns!$D$75,VRAGENLIJST!$H$251=dropdowns!$E$75),OFFSET(VRAGENLIJST!$H$255,Liquiditeit!AA3*2-6,0),IF(OR(VRAGENLIJST!$H$251=dropdowns!$B$76,VRAGENLIJST!$H$251=dropdowns!$C$76,VRAGENLIJST!$H$251=dropdowns!$D$76,VRAGENLIJST!$H$251=dropdowns!$E$76),OFFSET(VRAGENLIJST!$H$255,Liquiditeit!AA3*2-8,0),0))))))</f>
        <v>0</v>
      </c>
      <c r="AB13" s="318">
        <f ca="1">IF(VRAGENLIJST!$H$251="",0,IF(OR(VRAGENLIJST!$H$251=dropdowns!$B$72,VRAGENLIJST!$H$251=dropdowns!$C$72,VRAGENLIJST!$H$251=dropdowns!$D$72,VRAGENLIJST!$H$251=dropdowns!$E$72),OFFSET(VRAGENLIJST!$H$255,(COLUMN(AB12)-COLUMN($E$12))*2,0),IF(OR(VRAGENLIJST!$H$251=dropdowns!$B$73,VRAGENLIJST!$H$251=dropdowns!$C$73,VRAGENLIJST!$H$251=dropdowns!$D$73,VRAGENLIJST!$H$251=dropdowns!$E$73),OFFSET(VRAGENLIJST!$H$255,Liquiditeit!AB3*2-4,0)*0.5+(OFFSET(VRAGENLIJST!$H$255,(COLUMN(AB12)-COLUMN($E$12))*2,0))*0.5,IF(OR(VRAGENLIJST!$H$251=dropdowns!$B$74,VRAGENLIJST!$H$251=dropdowns!$C$74,VRAGENLIJST!$H$251=dropdowns!$D$74,VRAGENLIJST!$H$251=dropdowns!$E$74),OFFSET(VRAGENLIJST!$H$255,Liquiditeit!AB3*2-4,0),IF(OR(VRAGENLIJST!$H$251=dropdowns!$B$75,VRAGENLIJST!$H$251=dropdowns!$C$75,VRAGENLIJST!$H$251=dropdowns!$D$75,VRAGENLIJST!$H$251=dropdowns!$E$75),OFFSET(VRAGENLIJST!$H$255,Liquiditeit!AB3*2-6,0),IF(OR(VRAGENLIJST!$H$251=dropdowns!$B$76,VRAGENLIJST!$H$251=dropdowns!$C$76,VRAGENLIJST!$H$251=dropdowns!$D$76,VRAGENLIJST!$H$251=dropdowns!$E$76),OFFSET(VRAGENLIJST!$H$255,Liquiditeit!AB3*2-8,0),0))))))</f>
        <v>0</v>
      </c>
      <c r="AC13" s="320">
        <f ca="1">SUM(Q13:AB13)</f>
        <v>0</v>
      </c>
      <c r="AD13" s="318">
        <f ca="1">IF(VRAGENLIJST!$H$251="",0,IF(OR(VRAGENLIJST!$H$251=dropdowns!$B$72,VRAGENLIJST!$H$251=dropdowns!$C$72,VRAGENLIJST!$H$251=dropdowns!$D$72,VRAGENLIJST!$H$251=dropdowns!$E$72),OFFSET(VRAGENLIJST!$H$255,(COLUMN(AD12)-COLUMN($F$12))*2,0),IF(OR(VRAGENLIJST!$H$251=dropdowns!$B$73,VRAGENLIJST!$H$251=dropdowns!$C$73,VRAGENLIJST!$H$251=dropdowns!$D$73,VRAGENLIJST!$H$251=dropdowns!$E$73),OFFSET(VRAGENLIJST!$H$255,Liquiditeit!AD3*2-4,0)*0.5+(OFFSET(VRAGENLIJST!$H$255,(COLUMN(AD12)-COLUMN($F$12))*2,0))*0.5,IF(OR(VRAGENLIJST!$H$251=dropdowns!$B$74,VRAGENLIJST!$H$251=dropdowns!$C$74,VRAGENLIJST!$H$251=dropdowns!$D$74,VRAGENLIJST!$H$251=dropdowns!$E$74),OFFSET(VRAGENLIJST!$H$255,Liquiditeit!AD3*2-4,0),IF(OR(VRAGENLIJST!$H$251=dropdowns!$B$75,VRAGENLIJST!$H$251=dropdowns!$C$75,VRAGENLIJST!$H$251=dropdowns!$D$75,VRAGENLIJST!$H$251=dropdowns!$E$75),OFFSET(VRAGENLIJST!$H$255,Liquiditeit!AD3*2-6,0),IF(OR(VRAGENLIJST!$H$251=dropdowns!$B$76,VRAGENLIJST!$H$251=dropdowns!$C$76,VRAGENLIJST!$H$251=dropdowns!$D$76,VRAGENLIJST!$H$251=dropdowns!$E$76),OFFSET(VRAGENLIJST!$H$255,Liquiditeit!AD3*2-8,0),0))))))</f>
        <v>0</v>
      </c>
      <c r="AE13" s="318">
        <f ca="1">IF(VRAGENLIJST!$H$251="",0,IF(OR(VRAGENLIJST!$H$251=dropdowns!$B$72,VRAGENLIJST!$H$251=dropdowns!$C$72,VRAGENLIJST!$H$251=dropdowns!$D$72,VRAGENLIJST!$H$251=dropdowns!$E$72),OFFSET(VRAGENLIJST!$H$255,(COLUMN(AE12)-COLUMN($F$12))*2,0),IF(OR(VRAGENLIJST!$H$251=dropdowns!$B$73,VRAGENLIJST!$H$251=dropdowns!$C$73,VRAGENLIJST!$H$251=dropdowns!$D$73,VRAGENLIJST!$H$251=dropdowns!$E$73),OFFSET(VRAGENLIJST!$H$255,Liquiditeit!AE3*2-4,0)*0.5+(OFFSET(VRAGENLIJST!$H$255,(COLUMN(AE12)-COLUMN($F$12))*2,0))*0.5,IF(OR(VRAGENLIJST!$H$251=dropdowns!$B$74,VRAGENLIJST!$H$251=dropdowns!$C$74,VRAGENLIJST!$H$251=dropdowns!$D$74,VRAGENLIJST!$H$251=dropdowns!$E$74),OFFSET(VRAGENLIJST!$H$255,Liquiditeit!AE3*2-4,0),IF(OR(VRAGENLIJST!$H$251=dropdowns!$B$75,VRAGENLIJST!$H$251=dropdowns!$C$75,VRAGENLIJST!$H$251=dropdowns!$D$75,VRAGENLIJST!$H$251=dropdowns!$E$75),OFFSET(VRAGENLIJST!$H$255,Liquiditeit!AE3*2-6,0),IF(OR(VRAGENLIJST!$H$251=dropdowns!$B$76,VRAGENLIJST!$H$251=dropdowns!$C$76,VRAGENLIJST!$H$251=dropdowns!$D$76,VRAGENLIJST!$H$251=dropdowns!$E$76),OFFSET(VRAGENLIJST!$H$255,Liquiditeit!AE3*2-8,0),0))))))</f>
        <v>0</v>
      </c>
      <c r="AF13" s="318">
        <f ca="1">IF(VRAGENLIJST!$H$251="",0,IF(OR(VRAGENLIJST!$H$251=dropdowns!$B$72,VRAGENLIJST!$H$251=dropdowns!$C$72,VRAGENLIJST!$H$251=dropdowns!$D$72,VRAGENLIJST!$H$251=dropdowns!$E$72),OFFSET(VRAGENLIJST!$H$255,(COLUMN(AF12)-COLUMN($F$12))*2,0),IF(OR(VRAGENLIJST!$H$251=dropdowns!$B$73,VRAGENLIJST!$H$251=dropdowns!$C$73,VRAGENLIJST!$H$251=dropdowns!$D$73,VRAGENLIJST!$H$251=dropdowns!$E$73),OFFSET(VRAGENLIJST!$H$255,Liquiditeit!AF3*2-4,0)*0.5+(OFFSET(VRAGENLIJST!$H$255,(COLUMN(AF12)-COLUMN($F$12))*2,0))*0.5,IF(OR(VRAGENLIJST!$H$251=dropdowns!$B$74,VRAGENLIJST!$H$251=dropdowns!$C$74,VRAGENLIJST!$H$251=dropdowns!$D$74,VRAGENLIJST!$H$251=dropdowns!$E$74),OFFSET(VRAGENLIJST!$H$255,Liquiditeit!AF3*2-4,0),IF(OR(VRAGENLIJST!$H$251=dropdowns!$B$75,VRAGENLIJST!$H$251=dropdowns!$C$75,VRAGENLIJST!$H$251=dropdowns!$D$75,VRAGENLIJST!$H$251=dropdowns!$E$75),OFFSET(VRAGENLIJST!$H$255,Liquiditeit!AF3*2-6,0),IF(OR(VRAGENLIJST!$H$251=dropdowns!$B$76,VRAGENLIJST!$H$251=dropdowns!$C$76,VRAGENLIJST!$H$251=dropdowns!$D$76,VRAGENLIJST!$H$251=dropdowns!$E$76),OFFSET(VRAGENLIJST!$H$255,Liquiditeit!AF3*2-8,0),0))))))</f>
        <v>0</v>
      </c>
      <c r="AG13" s="318">
        <f ca="1">IF(VRAGENLIJST!$H$251="",0,IF(OR(VRAGENLIJST!$H$251=dropdowns!$B$72,VRAGENLIJST!$H$251=dropdowns!$C$72,VRAGENLIJST!$H$251=dropdowns!$D$72,VRAGENLIJST!$H$251=dropdowns!$E$72),OFFSET(VRAGENLIJST!$H$255,(COLUMN(AG12)-COLUMN($F$12))*2,0),IF(OR(VRAGENLIJST!$H$251=dropdowns!$B$73,VRAGENLIJST!$H$251=dropdowns!$C$73,VRAGENLIJST!$H$251=dropdowns!$D$73,VRAGENLIJST!$H$251=dropdowns!$E$73),OFFSET(VRAGENLIJST!$H$255,Liquiditeit!AG3*2-4,0)*0.5+(OFFSET(VRAGENLIJST!$H$255,(COLUMN(AG12)-COLUMN($F$12))*2,0))*0.5,IF(OR(VRAGENLIJST!$H$251=dropdowns!$B$74,VRAGENLIJST!$H$251=dropdowns!$C$74,VRAGENLIJST!$H$251=dropdowns!$D$74,VRAGENLIJST!$H$251=dropdowns!$E$74),OFFSET(VRAGENLIJST!$H$255,Liquiditeit!AG3*2-4,0),IF(OR(VRAGENLIJST!$H$251=dropdowns!$B$75,VRAGENLIJST!$H$251=dropdowns!$C$75,VRAGENLIJST!$H$251=dropdowns!$D$75,VRAGENLIJST!$H$251=dropdowns!$E$75),OFFSET(VRAGENLIJST!$H$255,Liquiditeit!AG3*2-6,0),IF(OR(VRAGENLIJST!$H$251=dropdowns!$B$76,VRAGENLIJST!$H$251=dropdowns!$C$76,VRAGENLIJST!$H$251=dropdowns!$D$76,VRAGENLIJST!$H$251=dropdowns!$E$76),OFFSET(VRAGENLIJST!$H$255,Liquiditeit!AG3*2-8,0),0))))))</f>
        <v>0</v>
      </c>
      <c r="AH13" s="318">
        <f ca="1">IF(VRAGENLIJST!$H$251="",0,IF(OR(VRAGENLIJST!$H$251=dropdowns!$B$72,VRAGENLIJST!$H$251=dropdowns!$C$72,VRAGENLIJST!$H$251=dropdowns!$D$72,VRAGENLIJST!$H$251=dropdowns!$E$72),OFFSET(VRAGENLIJST!$H$255,(COLUMN(AH12)-COLUMN($F$12))*2,0),IF(OR(VRAGENLIJST!$H$251=dropdowns!$B$73,VRAGENLIJST!$H$251=dropdowns!$C$73,VRAGENLIJST!$H$251=dropdowns!$D$73,VRAGENLIJST!$H$251=dropdowns!$E$73),OFFSET(VRAGENLIJST!$H$255,Liquiditeit!AH3*2-4,0)*0.5+(OFFSET(VRAGENLIJST!$H$255,(COLUMN(AH12)-COLUMN($F$12))*2,0))*0.5,IF(OR(VRAGENLIJST!$H$251=dropdowns!$B$74,VRAGENLIJST!$H$251=dropdowns!$C$74,VRAGENLIJST!$H$251=dropdowns!$D$74,VRAGENLIJST!$H$251=dropdowns!$E$74),OFFSET(VRAGENLIJST!$H$255,Liquiditeit!AH3*2-4,0),IF(OR(VRAGENLIJST!$H$251=dropdowns!$B$75,VRAGENLIJST!$H$251=dropdowns!$C$75,VRAGENLIJST!$H$251=dropdowns!$D$75,VRAGENLIJST!$H$251=dropdowns!$E$75),OFFSET(VRAGENLIJST!$H$255,Liquiditeit!AH3*2-6,0),IF(OR(VRAGENLIJST!$H$251=dropdowns!$B$76,VRAGENLIJST!$H$251=dropdowns!$C$76,VRAGENLIJST!$H$251=dropdowns!$D$76,VRAGENLIJST!$H$251=dropdowns!$E$76),OFFSET(VRAGENLIJST!$H$255,Liquiditeit!AH3*2-8,0),0))))))</f>
        <v>0</v>
      </c>
      <c r="AI13" s="318">
        <f ca="1">IF(VRAGENLIJST!$H$251="",0,IF(OR(VRAGENLIJST!$H$251=dropdowns!$B$72,VRAGENLIJST!$H$251=dropdowns!$C$72,VRAGENLIJST!$H$251=dropdowns!$D$72,VRAGENLIJST!$H$251=dropdowns!$E$72),OFFSET(VRAGENLIJST!$H$255,(COLUMN(AI12)-COLUMN($F$12))*2,0),IF(OR(VRAGENLIJST!$H$251=dropdowns!$B$73,VRAGENLIJST!$H$251=dropdowns!$C$73,VRAGENLIJST!$H$251=dropdowns!$D$73,VRAGENLIJST!$H$251=dropdowns!$E$73),OFFSET(VRAGENLIJST!$H$255,Liquiditeit!AI3*2-4,0)*0.5+(OFFSET(VRAGENLIJST!$H$255,(COLUMN(AI12)-COLUMN($F$12))*2,0))*0.5,IF(OR(VRAGENLIJST!$H$251=dropdowns!$B$74,VRAGENLIJST!$H$251=dropdowns!$C$74,VRAGENLIJST!$H$251=dropdowns!$D$74,VRAGENLIJST!$H$251=dropdowns!$E$74),OFFSET(VRAGENLIJST!$H$255,Liquiditeit!AI3*2-4,0),IF(OR(VRAGENLIJST!$H$251=dropdowns!$B$75,VRAGENLIJST!$H$251=dropdowns!$C$75,VRAGENLIJST!$H$251=dropdowns!$D$75,VRAGENLIJST!$H$251=dropdowns!$E$75),OFFSET(VRAGENLIJST!$H$255,Liquiditeit!AI3*2-6,0),IF(OR(VRAGENLIJST!$H$251=dropdowns!$B$76,VRAGENLIJST!$H$251=dropdowns!$C$76,VRAGENLIJST!$H$251=dropdowns!$D$76,VRAGENLIJST!$H$251=dropdowns!$E$76),OFFSET(VRAGENLIJST!$H$255,Liquiditeit!AI3*2-8,0),0))))))</f>
        <v>0</v>
      </c>
      <c r="AJ13" s="318">
        <f ca="1">IF(VRAGENLIJST!$H$251="",0,IF(OR(VRAGENLIJST!$H$251=dropdowns!$B$72,VRAGENLIJST!$H$251=dropdowns!$C$72,VRAGENLIJST!$H$251=dropdowns!$D$72,VRAGENLIJST!$H$251=dropdowns!$E$72),OFFSET(VRAGENLIJST!$H$255,(COLUMN(AJ12)-COLUMN($F$12))*2,0),IF(OR(VRAGENLIJST!$H$251=dropdowns!$B$73,VRAGENLIJST!$H$251=dropdowns!$C$73,VRAGENLIJST!$H$251=dropdowns!$D$73,VRAGENLIJST!$H$251=dropdowns!$E$73),OFFSET(VRAGENLIJST!$H$255,Liquiditeit!AJ3*2-4,0)*0.5+(OFFSET(VRAGENLIJST!$H$255,(COLUMN(AJ12)-COLUMN($F$12))*2,0))*0.5,IF(OR(VRAGENLIJST!$H$251=dropdowns!$B$74,VRAGENLIJST!$H$251=dropdowns!$C$74,VRAGENLIJST!$H$251=dropdowns!$D$74,VRAGENLIJST!$H$251=dropdowns!$E$74),OFFSET(VRAGENLIJST!$H$255,Liquiditeit!AJ3*2-4,0),IF(OR(VRAGENLIJST!$H$251=dropdowns!$B$75,VRAGENLIJST!$H$251=dropdowns!$C$75,VRAGENLIJST!$H$251=dropdowns!$D$75,VRAGENLIJST!$H$251=dropdowns!$E$75),OFFSET(VRAGENLIJST!$H$255,Liquiditeit!AJ3*2-6,0),IF(OR(VRAGENLIJST!$H$251=dropdowns!$B$76,VRAGENLIJST!$H$251=dropdowns!$C$76,VRAGENLIJST!$H$251=dropdowns!$D$76,VRAGENLIJST!$H$251=dropdowns!$E$76),OFFSET(VRAGENLIJST!$H$255,Liquiditeit!AJ3*2-8,0),0))))))</f>
        <v>0</v>
      </c>
      <c r="AK13" s="318">
        <f ca="1">IF(VRAGENLIJST!$H$251="",0,IF(OR(VRAGENLIJST!$H$251=dropdowns!$B$72,VRAGENLIJST!$H$251=dropdowns!$C$72,VRAGENLIJST!$H$251=dropdowns!$D$72,VRAGENLIJST!$H$251=dropdowns!$E$72),OFFSET(VRAGENLIJST!$H$255,(COLUMN(AK12)-COLUMN($F$12))*2,0),IF(OR(VRAGENLIJST!$H$251=dropdowns!$B$73,VRAGENLIJST!$H$251=dropdowns!$C$73,VRAGENLIJST!$H$251=dropdowns!$D$73,VRAGENLIJST!$H$251=dropdowns!$E$73),OFFSET(VRAGENLIJST!$H$255,Liquiditeit!AK3*2-4,0)*0.5+(OFFSET(VRAGENLIJST!$H$255,(COLUMN(AK12)-COLUMN($F$12))*2,0))*0.5,IF(OR(VRAGENLIJST!$H$251=dropdowns!$B$74,VRAGENLIJST!$H$251=dropdowns!$C$74,VRAGENLIJST!$H$251=dropdowns!$D$74,VRAGENLIJST!$H$251=dropdowns!$E$74),OFFSET(VRAGENLIJST!$H$255,Liquiditeit!AK3*2-4,0),IF(OR(VRAGENLIJST!$H$251=dropdowns!$B$75,VRAGENLIJST!$H$251=dropdowns!$C$75,VRAGENLIJST!$H$251=dropdowns!$D$75,VRAGENLIJST!$H$251=dropdowns!$E$75),OFFSET(VRAGENLIJST!$H$255,Liquiditeit!AK3*2-6,0),IF(OR(VRAGENLIJST!$H$251=dropdowns!$B$76,VRAGENLIJST!$H$251=dropdowns!$C$76,VRAGENLIJST!$H$251=dropdowns!$D$76,VRAGENLIJST!$H$251=dropdowns!$E$76),OFFSET(VRAGENLIJST!$H$255,Liquiditeit!AK3*2-8,0),0))))))</f>
        <v>0</v>
      </c>
      <c r="AL13" s="318">
        <f ca="1">IF(VRAGENLIJST!$H$251="",0,IF(OR(VRAGENLIJST!$H$251=dropdowns!$B$72,VRAGENLIJST!$H$251=dropdowns!$C$72,VRAGENLIJST!$H$251=dropdowns!$D$72,VRAGENLIJST!$H$251=dropdowns!$E$72),OFFSET(VRAGENLIJST!$H$255,(COLUMN(AL12)-COLUMN($F$12))*2,0),IF(OR(VRAGENLIJST!$H$251=dropdowns!$B$73,VRAGENLIJST!$H$251=dropdowns!$C$73,VRAGENLIJST!$H$251=dropdowns!$D$73,VRAGENLIJST!$H$251=dropdowns!$E$73),OFFSET(VRAGENLIJST!$H$255,Liquiditeit!AL3*2-4,0)*0.5+(OFFSET(VRAGENLIJST!$H$255,(COLUMN(AL12)-COLUMN($F$12))*2,0))*0.5,IF(OR(VRAGENLIJST!$H$251=dropdowns!$B$74,VRAGENLIJST!$H$251=dropdowns!$C$74,VRAGENLIJST!$H$251=dropdowns!$D$74,VRAGENLIJST!$H$251=dropdowns!$E$74),OFFSET(VRAGENLIJST!$H$255,Liquiditeit!AL3*2-4,0),IF(OR(VRAGENLIJST!$H$251=dropdowns!$B$75,VRAGENLIJST!$H$251=dropdowns!$C$75,VRAGENLIJST!$H$251=dropdowns!$D$75,VRAGENLIJST!$H$251=dropdowns!$E$75),OFFSET(VRAGENLIJST!$H$255,Liquiditeit!AL3*2-6,0),IF(OR(VRAGENLIJST!$H$251=dropdowns!$B$76,VRAGENLIJST!$H$251=dropdowns!$C$76,VRAGENLIJST!$H$251=dropdowns!$D$76,VRAGENLIJST!$H$251=dropdowns!$E$76),OFFSET(VRAGENLIJST!$H$255,Liquiditeit!AL3*2-8,0),0))))))</f>
        <v>0</v>
      </c>
      <c r="AM13" s="318">
        <f ca="1">IF(VRAGENLIJST!$H$251="",0,IF(OR(VRAGENLIJST!$H$251=dropdowns!$B$72,VRAGENLIJST!$H$251=dropdowns!$C$72,VRAGENLIJST!$H$251=dropdowns!$D$72,VRAGENLIJST!$H$251=dropdowns!$E$72),OFFSET(VRAGENLIJST!$H$255,(COLUMN(AM12)-COLUMN($F$12))*2,0),IF(OR(VRAGENLIJST!$H$251=dropdowns!$B$73,VRAGENLIJST!$H$251=dropdowns!$C$73,VRAGENLIJST!$H$251=dropdowns!$D$73,VRAGENLIJST!$H$251=dropdowns!$E$73),OFFSET(VRAGENLIJST!$H$255,Liquiditeit!AM3*2-4,0)*0.5+(OFFSET(VRAGENLIJST!$H$255,(COLUMN(AM12)-COLUMN($F$12))*2,0))*0.5,IF(OR(VRAGENLIJST!$H$251=dropdowns!$B$74,VRAGENLIJST!$H$251=dropdowns!$C$74,VRAGENLIJST!$H$251=dropdowns!$D$74,VRAGENLIJST!$H$251=dropdowns!$E$74),OFFSET(VRAGENLIJST!$H$255,Liquiditeit!AM3*2-4,0),IF(OR(VRAGENLIJST!$H$251=dropdowns!$B$75,VRAGENLIJST!$H$251=dropdowns!$C$75,VRAGENLIJST!$H$251=dropdowns!$D$75,VRAGENLIJST!$H$251=dropdowns!$E$75),OFFSET(VRAGENLIJST!$H$255,Liquiditeit!AM3*2-6,0),IF(OR(VRAGENLIJST!$H$251=dropdowns!$B$76,VRAGENLIJST!$H$251=dropdowns!$C$76,VRAGENLIJST!$H$251=dropdowns!$D$76,VRAGENLIJST!$H$251=dropdowns!$E$76),OFFSET(VRAGENLIJST!$H$255,Liquiditeit!AM3*2-8,0),0))))))</f>
        <v>0</v>
      </c>
      <c r="AN13" s="318">
        <f ca="1">IF(VRAGENLIJST!$H$251="",0,IF(OR(VRAGENLIJST!$H$251=dropdowns!$B$72,VRAGENLIJST!$H$251=dropdowns!$C$72,VRAGENLIJST!$H$251=dropdowns!$D$72,VRAGENLIJST!$H$251=dropdowns!$E$72),OFFSET(VRAGENLIJST!$H$255,(COLUMN(AN12)-COLUMN($F$12))*2,0),IF(OR(VRAGENLIJST!$H$251=dropdowns!$B$73,VRAGENLIJST!$H$251=dropdowns!$C$73,VRAGENLIJST!$H$251=dropdowns!$D$73,VRAGENLIJST!$H$251=dropdowns!$E$73),OFFSET(VRAGENLIJST!$H$255,Liquiditeit!AN3*2-4,0)*0.5+(OFFSET(VRAGENLIJST!$H$255,(COLUMN(AN12)-COLUMN($F$12))*2,0))*0.5,IF(OR(VRAGENLIJST!$H$251=dropdowns!$B$74,VRAGENLIJST!$H$251=dropdowns!$C$74,VRAGENLIJST!$H$251=dropdowns!$D$74,VRAGENLIJST!$H$251=dropdowns!$E$74),OFFSET(VRAGENLIJST!$H$255,Liquiditeit!AN3*2-4,0),IF(OR(VRAGENLIJST!$H$251=dropdowns!$B$75,VRAGENLIJST!$H$251=dropdowns!$C$75,VRAGENLIJST!$H$251=dropdowns!$D$75,VRAGENLIJST!$H$251=dropdowns!$E$75),OFFSET(VRAGENLIJST!$H$255,Liquiditeit!AN3*2-6,0),IF(OR(VRAGENLIJST!$H$251=dropdowns!$B$76,VRAGENLIJST!$H$251=dropdowns!$C$76,VRAGENLIJST!$H$251=dropdowns!$D$76,VRAGENLIJST!$H$251=dropdowns!$E$76),OFFSET(VRAGENLIJST!$H$255,Liquiditeit!AN3*2-8,0),0))))))</f>
        <v>0</v>
      </c>
      <c r="AO13" s="318">
        <f ca="1">IF(VRAGENLIJST!$H$251="",0,IF(OR(VRAGENLIJST!$H$251=dropdowns!$B$72,VRAGENLIJST!$H$251=dropdowns!$C$72,VRAGENLIJST!$H$251=dropdowns!$D$72,VRAGENLIJST!$H$251=dropdowns!$E$72),OFFSET(VRAGENLIJST!$H$255,(COLUMN(AO12)-COLUMN($F$12))*2,0),IF(OR(VRAGENLIJST!$H$251=dropdowns!$B$73,VRAGENLIJST!$H$251=dropdowns!$C$73,VRAGENLIJST!$H$251=dropdowns!$D$73,VRAGENLIJST!$H$251=dropdowns!$E$73),OFFSET(VRAGENLIJST!$H$255,Liquiditeit!AO3*2-4,0)*0.5+(OFFSET(VRAGENLIJST!$H$255,(COLUMN(AO12)-COLUMN($F$12))*2,0))*0.5,IF(OR(VRAGENLIJST!$H$251=dropdowns!$B$74,VRAGENLIJST!$H$251=dropdowns!$C$74,VRAGENLIJST!$H$251=dropdowns!$D$74,VRAGENLIJST!$H$251=dropdowns!$E$74),OFFSET(VRAGENLIJST!$H$255,Liquiditeit!AO3*2-4,0),IF(OR(VRAGENLIJST!$H$251=dropdowns!$B$75,VRAGENLIJST!$H$251=dropdowns!$C$75,VRAGENLIJST!$H$251=dropdowns!$D$75,VRAGENLIJST!$H$251=dropdowns!$E$75),OFFSET(VRAGENLIJST!$H$255,Liquiditeit!AO3*2-6,0),IF(OR(VRAGENLIJST!$H$251=dropdowns!$B$76,VRAGENLIJST!$H$251=dropdowns!$C$76,VRAGENLIJST!$H$251=dropdowns!$D$76,VRAGENLIJST!$H$251=dropdowns!$E$76),OFFSET(VRAGENLIJST!$H$255,Liquiditeit!AO3*2-8,0),0))))))</f>
        <v>0</v>
      </c>
      <c r="AP13" s="320">
        <f ca="1">SUM(AD13:AO13)</f>
        <v>0</v>
      </c>
    </row>
    <row r="14" spans="1:42" ht="14.25" customHeight="1" x14ac:dyDescent="0.25">
      <c r="B14" s="317" t="str">
        <f>Vertaling!A275</f>
        <v xml:space="preserve"> Btw</v>
      </c>
      <c r="C14" s="319"/>
      <c r="D14" s="318">
        <f>D11*VRAGENLIJST!$D$249+Liquiditeit!D12*VRAGENLIJST!$F$249+D13*VRAGENLIJST!$H$249</f>
        <v>0</v>
      </c>
      <c r="E14" s="318">
        <f ca="1">E11*VRAGENLIJST!$D$249+Liquiditeit!E12*VRAGENLIJST!$F$249+E13*VRAGENLIJST!$H$249</f>
        <v>0</v>
      </c>
      <c r="F14" s="318">
        <f ca="1">F11*VRAGENLIJST!$D$249+Liquiditeit!F12*VRAGENLIJST!$F$249+F13*VRAGENLIJST!$H$249</f>
        <v>0</v>
      </c>
      <c r="G14" s="318">
        <f ca="1">G11*VRAGENLIJST!$D$249+Liquiditeit!G12*VRAGENLIJST!$F$249+G13*VRAGENLIJST!$H$249</f>
        <v>0</v>
      </c>
      <c r="H14" s="318">
        <f ca="1">H11*VRAGENLIJST!$D$249+Liquiditeit!H12*VRAGENLIJST!$F$249+H13*VRAGENLIJST!$H$249</f>
        <v>0</v>
      </c>
      <c r="I14" s="318">
        <f ca="1">I11*VRAGENLIJST!$D$249+Liquiditeit!I12*VRAGENLIJST!$F$249+I13*VRAGENLIJST!$H$249</f>
        <v>0</v>
      </c>
      <c r="J14" s="318">
        <f ca="1">J11*VRAGENLIJST!$D$249+Liquiditeit!J12*VRAGENLIJST!$F$249+J13*VRAGENLIJST!$H$249</f>
        <v>0</v>
      </c>
      <c r="K14" s="318">
        <f ca="1">K11*VRAGENLIJST!$D$249+Liquiditeit!K12*VRAGENLIJST!$F$249+K13*VRAGENLIJST!$H$249</f>
        <v>0</v>
      </c>
      <c r="L14" s="318">
        <f ca="1">L11*VRAGENLIJST!$D$249+Liquiditeit!L12*VRAGENLIJST!$F$249+L13*VRAGENLIJST!$H$249</f>
        <v>0</v>
      </c>
      <c r="M14" s="318">
        <f ca="1">M11*VRAGENLIJST!$D$249+Liquiditeit!M12*VRAGENLIJST!$F$249+M13*VRAGENLIJST!$H$249</f>
        <v>0</v>
      </c>
      <c r="N14" s="318">
        <f ca="1">N11*VRAGENLIJST!$D$249+Liquiditeit!N12*VRAGENLIJST!$F$249+N13*VRAGENLIJST!$H$249</f>
        <v>0</v>
      </c>
      <c r="O14" s="318">
        <f ca="1">O11*VRAGENLIJST!$D$249+Liquiditeit!O12*VRAGENLIJST!$F$249+O13*VRAGENLIJST!$H$249</f>
        <v>0</v>
      </c>
      <c r="P14" s="320">
        <f ca="1">SUM(D14:O14)</f>
        <v>0</v>
      </c>
      <c r="Q14" s="318">
        <f ca="1">Q11*VRAGENLIJST!$D$249+Liquiditeit!Q12*VRAGENLIJST!$F$249+Q13*VRAGENLIJST!$H$249</f>
        <v>0</v>
      </c>
      <c r="R14" s="318">
        <f ca="1">R11*VRAGENLIJST!$D$249+Liquiditeit!R12*VRAGENLIJST!$F$249+R13*VRAGENLIJST!$H$249</f>
        <v>0</v>
      </c>
      <c r="S14" s="318">
        <f ca="1">S11*VRAGENLIJST!$D$249+Liquiditeit!S12*VRAGENLIJST!$F$249+S13*VRAGENLIJST!$H$249</f>
        <v>0</v>
      </c>
      <c r="T14" s="318">
        <f ca="1">T11*VRAGENLIJST!$D$249+Liquiditeit!T12*VRAGENLIJST!$F$249+T13*VRAGENLIJST!$H$249</f>
        <v>0</v>
      </c>
      <c r="U14" s="318">
        <f ca="1">U11*VRAGENLIJST!$D$249+Liquiditeit!U12*VRAGENLIJST!$F$249+U13*VRAGENLIJST!$H$249</f>
        <v>0</v>
      </c>
      <c r="V14" s="318">
        <f ca="1">V11*VRAGENLIJST!$D$249+Liquiditeit!V12*VRAGENLIJST!$F$249+V13*VRAGENLIJST!$H$249</f>
        <v>0</v>
      </c>
      <c r="W14" s="318">
        <f ca="1">W11*VRAGENLIJST!$D$249+Liquiditeit!W12*VRAGENLIJST!$F$249+W13*VRAGENLIJST!$H$249</f>
        <v>0</v>
      </c>
      <c r="X14" s="318">
        <f ca="1">X11*VRAGENLIJST!$D$249+Liquiditeit!X12*VRAGENLIJST!$F$249+X13*VRAGENLIJST!$H$249</f>
        <v>0</v>
      </c>
      <c r="Y14" s="318">
        <f ca="1">Y11*VRAGENLIJST!$D$249+Liquiditeit!Y12*VRAGENLIJST!$F$249+Y13*VRAGENLIJST!$H$249</f>
        <v>0</v>
      </c>
      <c r="Z14" s="318">
        <f ca="1">Z11*VRAGENLIJST!$D$249+Liquiditeit!Z12*VRAGENLIJST!$F$249+Z13*VRAGENLIJST!$H$249</f>
        <v>0</v>
      </c>
      <c r="AA14" s="318">
        <f ca="1">AA11*VRAGENLIJST!$D$249+Liquiditeit!AA12*VRAGENLIJST!$F$249+AA13*VRAGENLIJST!$H$249</f>
        <v>0</v>
      </c>
      <c r="AB14" s="318">
        <f ca="1">AB11*VRAGENLIJST!$D$249+Liquiditeit!AB12*VRAGENLIJST!$F$249+AB13*VRAGENLIJST!$H$249</f>
        <v>0</v>
      </c>
      <c r="AC14" s="320">
        <f ca="1">SUM(Q14:AB14)</f>
        <v>0</v>
      </c>
      <c r="AD14" s="318">
        <f ca="1">AD11*VRAGENLIJST!$D$249+Liquiditeit!AD12*VRAGENLIJST!$F$249+AD13*VRAGENLIJST!$H$249</f>
        <v>0</v>
      </c>
      <c r="AE14" s="318">
        <f ca="1">AE11*VRAGENLIJST!$D$249+Liquiditeit!AE12*VRAGENLIJST!$F$249+AE13*VRAGENLIJST!$H$249</f>
        <v>0</v>
      </c>
      <c r="AF14" s="318">
        <f ca="1">AF11*VRAGENLIJST!$D$249+Liquiditeit!AF12*VRAGENLIJST!$F$249+AF13*VRAGENLIJST!$H$249</f>
        <v>0</v>
      </c>
      <c r="AG14" s="318">
        <f ca="1">AG11*VRAGENLIJST!$D$249+Liquiditeit!AG12*VRAGENLIJST!$F$249+AG13*VRAGENLIJST!$H$249</f>
        <v>0</v>
      </c>
      <c r="AH14" s="318">
        <f ca="1">AH11*VRAGENLIJST!$D$249+Liquiditeit!AH12*VRAGENLIJST!$F$249+AH13*VRAGENLIJST!$H$249</f>
        <v>0</v>
      </c>
      <c r="AI14" s="318">
        <f ca="1">AI11*VRAGENLIJST!$D$249+Liquiditeit!AI12*VRAGENLIJST!$F$249+AI13*VRAGENLIJST!$H$249</f>
        <v>0</v>
      </c>
      <c r="AJ14" s="318">
        <f ca="1">AJ11*VRAGENLIJST!$D$249+Liquiditeit!AJ12*VRAGENLIJST!$F$249+AJ13*VRAGENLIJST!$H$249</f>
        <v>0</v>
      </c>
      <c r="AK14" s="318">
        <f ca="1">AK11*VRAGENLIJST!$D$249+Liquiditeit!AK12*VRAGENLIJST!$F$249+AK13*VRAGENLIJST!$H$249</f>
        <v>0</v>
      </c>
      <c r="AL14" s="318">
        <f ca="1">AL11*VRAGENLIJST!$D$249+Liquiditeit!AL12*VRAGENLIJST!$F$249+AL13*VRAGENLIJST!$H$249</f>
        <v>0</v>
      </c>
      <c r="AM14" s="318">
        <f ca="1">AM11*VRAGENLIJST!$D$249+Liquiditeit!AM12*VRAGENLIJST!$F$249+AM13*VRAGENLIJST!$H$249</f>
        <v>0</v>
      </c>
      <c r="AN14" s="318">
        <f ca="1">AN11*VRAGENLIJST!$D$249+Liquiditeit!AN12*VRAGENLIJST!$F$249+AN13*VRAGENLIJST!$H$249</f>
        <v>0</v>
      </c>
      <c r="AO14" s="318">
        <f ca="1">AO11*VRAGENLIJST!$D$249+Liquiditeit!AO12*VRAGENLIJST!$F$249+AO13*VRAGENLIJST!$H$249</f>
        <v>0</v>
      </c>
      <c r="AP14" s="320">
        <f ca="1">SUM(AD14:AO14)</f>
        <v>0</v>
      </c>
    </row>
    <row r="15" spans="1:42" ht="14.25" hidden="1" customHeight="1" x14ac:dyDescent="0.25">
      <c r="B15" s="317" t="str">
        <f>Vertaling!A276</f>
        <v xml:space="preserve"> Omzet incl. btw</v>
      </c>
      <c r="C15" s="319"/>
      <c r="D15" s="318">
        <f t="shared" ref="D15:O15" si="3">SUM(D12:D14)</f>
        <v>0</v>
      </c>
      <c r="E15" s="318">
        <f t="shared" ca="1" si="3"/>
        <v>0</v>
      </c>
      <c r="F15" s="318">
        <f t="shared" ca="1" si="3"/>
        <v>0</v>
      </c>
      <c r="G15" s="318">
        <f t="shared" ca="1" si="3"/>
        <v>0</v>
      </c>
      <c r="H15" s="318">
        <f t="shared" ca="1" si="3"/>
        <v>0</v>
      </c>
      <c r="I15" s="318">
        <f t="shared" ca="1" si="3"/>
        <v>0</v>
      </c>
      <c r="J15" s="318">
        <f t="shared" ca="1" si="3"/>
        <v>0</v>
      </c>
      <c r="K15" s="318">
        <f t="shared" ca="1" si="3"/>
        <v>0</v>
      </c>
      <c r="L15" s="318">
        <f t="shared" ca="1" si="3"/>
        <v>0</v>
      </c>
      <c r="M15" s="318">
        <f t="shared" ca="1" si="3"/>
        <v>0</v>
      </c>
      <c r="N15" s="318">
        <f t="shared" ca="1" si="3"/>
        <v>0</v>
      </c>
      <c r="O15" s="318">
        <f t="shared" ca="1" si="3"/>
        <v>0</v>
      </c>
      <c r="P15" s="321">
        <f ca="1">SUM(D15:O15)</f>
        <v>0</v>
      </c>
      <c r="Q15" s="318"/>
      <c r="R15" s="318"/>
      <c r="S15" s="318"/>
      <c r="T15" s="318"/>
      <c r="U15" s="318"/>
      <c r="V15" s="318"/>
      <c r="W15" s="318"/>
      <c r="X15" s="318"/>
      <c r="Y15" s="318"/>
      <c r="Z15" s="318"/>
      <c r="AA15" s="318"/>
      <c r="AB15" s="318"/>
      <c r="AC15" s="321"/>
      <c r="AD15" s="318"/>
      <c r="AE15" s="318"/>
      <c r="AF15" s="318"/>
      <c r="AG15" s="318"/>
      <c r="AH15" s="318"/>
      <c r="AI15" s="318"/>
      <c r="AJ15" s="318"/>
      <c r="AK15" s="318"/>
      <c r="AL15" s="318"/>
      <c r="AM15" s="318"/>
      <c r="AN15" s="318"/>
      <c r="AO15" s="318"/>
      <c r="AP15" s="321"/>
    </row>
    <row r="16" spans="1:42" ht="15" x14ac:dyDescent="0.25">
      <c r="B16" s="322" t="str">
        <f>Vertaling!A277</f>
        <v>Totale ontvangsten</v>
      </c>
      <c r="C16" s="323">
        <f>SUM(C8:C15)</f>
        <v>0</v>
      </c>
      <c r="D16" s="323">
        <f t="shared" ref="D16:AO16" si="4">SUM(D8:D14)</f>
        <v>0</v>
      </c>
      <c r="E16" s="323">
        <f t="shared" ca="1" si="4"/>
        <v>0</v>
      </c>
      <c r="F16" s="323">
        <f t="shared" ca="1" si="4"/>
        <v>0</v>
      </c>
      <c r="G16" s="323">
        <f t="shared" ca="1" si="4"/>
        <v>0</v>
      </c>
      <c r="H16" s="323">
        <f t="shared" ca="1" si="4"/>
        <v>0</v>
      </c>
      <c r="I16" s="323">
        <f t="shared" ca="1" si="4"/>
        <v>0</v>
      </c>
      <c r="J16" s="323">
        <f t="shared" ca="1" si="4"/>
        <v>0</v>
      </c>
      <c r="K16" s="323">
        <f t="shared" ca="1" si="4"/>
        <v>0</v>
      </c>
      <c r="L16" s="323">
        <f t="shared" ca="1" si="4"/>
        <v>0</v>
      </c>
      <c r="M16" s="323">
        <f t="shared" ca="1" si="4"/>
        <v>0</v>
      </c>
      <c r="N16" s="323">
        <f t="shared" ca="1" si="4"/>
        <v>0</v>
      </c>
      <c r="O16" s="323">
        <f t="shared" ca="1" si="4"/>
        <v>0</v>
      </c>
      <c r="P16" s="320">
        <f ca="1">SUM(C16:O16)</f>
        <v>0</v>
      </c>
      <c r="Q16" s="323">
        <f t="shared" ca="1" si="4"/>
        <v>0</v>
      </c>
      <c r="R16" s="323">
        <f t="shared" ca="1" si="4"/>
        <v>0</v>
      </c>
      <c r="S16" s="323">
        <f t="shared" ca="1" si="4"/>
        <v>0</v>
      </c>
      <c r="T16" s="323">
        <f t="shared" ca="1" si="4"/>
        <v>0</v>
      </c>
      <c r="U16" s="323">
        <f t="shared" ca="1" si="4"/>
        <v>0</v>
      </c>
      <c r="V16" s="323">
        <f t="shared" ca="1" si="4"/>
        <v>0</v>
      </c>
      <c r="W16" s="323">
        <f t="shared" ca="1" si="4"/>
        <v>0</v>
      </c>
      <c r="X16" s="323">
        <f t="shared" ca="1" si="4"/>
        <v>0</v>
      </c>
      <c r="Y16" s="323">
        <f t="shared" ca="1" si="4"/>
        <v>0</v>
      </c>
      <c r="Z16" s="323">
        <f t="shared" ca="1" si="4"/>
        <v>0</v>
      </c>
      <c r="AA16" s="323">
        <f t="shared" ca="1" si="4"/>
        <v>0</v>
      </c>
      <c r="AB16" s="323">
        <f t="shared" ca="1" si="4"/>
        <v>0</v>
      </c>
      <c r="AC16" s="320">
        <f ca="1">SUM(P16:AB16)</f>
        <v>0</v>
      </c>
      <c r="AD16" s="323">
        <f t="shared" ca="1" si="4"/>
        <v>0</v>
      </c>
      <c r="AE16" s="323">
        <f t="shared" ca="1" si="4"/>
        <v>0</v>
      </c>
      <c r="AF16" s="323">
        <f t="shared" ca="1" si="4"/>
        <v>0</v>
      </c>
      <c r="AG16" s="323">
        <f t="shared" ca="1" si="4"/>
        <v>0</v>
      </c>
      <c r="AH16" s="323">
        <f t="shared" ca="1" si="4"/>
        <v>0</v>
      </c>
      <c r="AI16" s="323">
        <f t="shared" ca="1" si="4"/>
        <v>0</v>
      </c>
      <c r="AJ16" s="323">
        <f t="shared" ca="1" si="4"/>
        <v>0</v>
      </c>
      <c r="AK16" s="323">
        <f t="shared" ca="1" si="4"/>
        <v>0</v>
      </c>
      <c r="AL16" s="323">
        <f t="shared" ca="1" si="4"/>
        <v>0</v>
      </c>
      <c r="AM16" s="323">
        <f t="shared" ca="1" si="4"/>
        <v>0</v>
      </c>
      <c r="AN16" s="323">
        <f t="shared" ca="1" si="4"/>
        <v>0</v>
      </c>
      <c r="AO16" s="323">
        <f t="shared" ca="1" si="4"/>
        <v>0</v>
      </c>
      <c r="AP16" s="320">
        <f ca="1">SUM(AC16:AO16)</f>
        <v>0</v>
      </c>
    </row>
    <row r="17" spans="2:42" ht="14.25" customHeight="1" x14ac:dyDescent="0.25">
      <c r="B17" s="313"/>
      <c r="C17" s="313"/>
      <c r="D17" s="313"/>
      <c r="E17" s="313"/>
      <c r="F17" s="313"/>
      <c r="G17" s="313"/>
      <c r="H17" s="313"/>
      <c r="I17" s="313"/>
      <c r="J17" s="313"/>
      <c r="K17" s="313"/>
      <c r="L17" s="313"/>
      <c r="M17" s="313"/>
      <c r="N17" s="313"/>
      <c r="O17" s="313"/>
      <c r="P17" s="313"/>
      <c r="Q17" s="313"/>
      <c r="R17" s="313"/>
      <c r="S17" s="313"/>
      <c r="T17" s="313"/>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row>
    <row r="18" spans="2:42" ht="14.25" customHeight="1" x14ac:dyDescent="0.25">
      <c r="B18" s="314" t="str">
        <f>Vertaling!A278</f>
        <v>Uitgaven</v>
      </c>
      <c r="C18" s="315"/>
      <c r="D18" s="315"/>
      <c r="E18" s="315"/>
      <c r="F18" s="315"/>
      <c r="G18" s="315"/>
      <c r="H18" s="315"/>
      <c r="I18" s="315"/>
      <c r="J18" s="315"/>
      <c r="K18" s="315"/>
      <c r="L18" s="315"/>
      <c r="M18" s="315"/>
      <c r="N18" s="315"/>
      <c r="O18" s="315"/>
      <c r="P18" s="324"/>
      <c r="Q18" s="315"/>
      <c r="R18" s="315"/>
      <c r="S18" s="315"/>
      <c r="T18" s="315"/>
      <c r="U18" s="315"/>
      <c r="V18" s="315"/>
      <c r="W18" s="315"/>
      <c r="X18" s="315"/>
      <c r="Y18" s="315"/>
      <c r="Z18" s="315"/>
      <c r="AA18" s="315"/>
      <c r="AB18" s="315"/>
      <c r="AC18" s="324"/>
      <c r="AD18" s="315"/>
      <c r="AE18" s="315"/>
      <c r="AF18" s="315"/>
      <c r="AG18" s="315"/>
      <c r="AH18" s="315"/>
      <c r="AI18" s="315"/>
      <c r="AJ18" s="315"/>
      <c r="AK18" s="315"/>
      <c r="AL18" s="315"/>
      <c r="AM18" s="315"/>
      <c r="AN18" s="315"/>
      <c r="AO18" s="315"/>
      <c r="AP18" s="324"/>
    </row>
    <row r="19" spans="2:42" ht="14.25" customHeight="1" x14ac:dyDescent="0.25">
      <c r="B19" s="317" t="str">
        <f>Vertaling!A279</f>
        <v xml:space="preserve"> Investering</v>
      </c>
      <c r="C19" s="318">
        <f>SUM('Investering &amp; Financiering'!D4:D9)</f>
        <v>0</v>
      </c>
      <c r="D19" s="319"/>
      <c r="E19" s="319"/>
      <c r="F19" s="319"/>
      <c r="G19" s="319"/>
      <c r="H19" s="319"/>
      <c r="I19" s="319"/>
      <c r="J19" s="319"/>
      <c r="K19" s="319"/>
      <c r="L19" s="319"/>
      <c r="M19" s="319"/>
      <c r="N19" s="319"/>
      <c r="O19" s="319"/>
      <c r="P19" s="320">
        <f>SUM(C19:O19)</f>
        <v>0</v>
      </c>
      <c r="Q19" s="319"/>
      <c r="R19" s="319"/>
      <c r="S19" s="319"/>
      <c r="T19" s="319"/>
      <c r="U19" s="319"/>
      <c r="V19" s="319"/>
      <c r="W19" s="319"/>
      <c r="X19" s="319"/>
      <c r="Y19" s="319"/>
      <c r="Z19" s="319"/>
      <c r="AA19" s="319"/>
      <c r="AB19" s="319"/>
      <c r="AC19" s="320">
        <f>SUM(P19:AB19)</f>
        <v>0</v>
      </c>
      <c r="AD19" s="319"/>
      <c r="AE19" s="319"/>
      <c r="AF19" s="319"/>
      <c r="AG19" s="319"/>
      <c r="AH19" s="319"/>
      <c r="AI19" s="319"/>
      <c r="AJ19" s="319"/>
      <c r="AK19" s="319"/>
      <c r="AL19" s="319"/>
      <c r="AM19" s="319"/>
      <c r="AN19" s="319"/>
      <c r="AO19" s="319"/>
      <c r="AP19" s="320">
        <f>SUM(AC19:AO19)</f>
        <v>0</v>
      </c>
    </row>
    <row r="20" spans="2:42" ht="14.25" customHeight="1" x14ac:dyDescent="0.25">
      <c r="B20" s="317" t="str">
        <f>Vertaling!A280</f>
        <v xml:space="preserve"> Inkoop product 1</v>
      </c>
      <c r="C20" s="318">
        <f>IF(OR(VRAGENLIJST!D99=dropdowns!$B$28,VRAGENLIJST!D99=dropdowns!$C$28,VRAGENLIJST!D99=dropdowns!$D$28,VRAGENLIJST!D99=dropdowns!$E$28),0,VRAGENLIJST!H99)</f>
        <v>0</v>
      </c>
      <c r="D20" s="318">
        <f>IF(VRAGENLIJST!$D$170="",0,IF(OR(VRAGENLIJST!$D$170=dropdowns!$B$72,VRAGENLIJST!$D$170=dropdowns!$C$72,VRAGENLIJST!$D$170=dropdowns!$D$72,VRAGENLIJST!$D$170=dropdowns!$E$72),VRAGENLIJST!$D$255*VRAGENLIJST!$D$166,IF(OR(VRAGENLIJST!$D$170=dropdowns!$B$73,VRAGENLIJST!$D$170=dropdowns!$C$73,VRAGENLIJST!$D$170=dropdowns!$D$73,VRAGENLIJST!$D$170=dropdowns!$E$73),VRAGENLIJST!$D$255*0.5*VRAGENLIJST!$D$166,0)))</f>
        <v>0</v>
      </c>
      <c r="E20" s="318">
        <f ca="1">IF(VRAGENLIJST!$D$170="",0,IF(OR(VRAGENLIJST!$D$170=dropdowns!$B$72,VRAGENLIJST!$D$170=dropdowns!$C$72,VRAGENLIJST!$D$170=dropdowns!$D$72,VRAGENLIJST!$D$170=dropdowns!$E$72),OFFSET(VRAGENLIJST!$D$255,(COLUMN(E20)-COLUMN($D$20))*2,0)*VRAGENLIJST!$D$166,IF(OR(VRAGENLIJST!$D$170=dropdowns!$B$73,VRAGENLIJST!$D$170=dropdowns!$C$73,VRAGENLIJST!$D$170=dropdowns!$D$73,VRAGENLIJST!$D$170=dropdowns!$E$73),VRAGENLIJST!$D$255*0.5*VRAGENLIJST!$D$166+(OFFSET(VRAGENLIJST!$D$255,(COLUMN(E20)-COLUMN($D$20))*2,0))*0.5*VRAGENLIJST!$D$166,IF(OR(VRAGENLIJST!$D$170=dropdowns!$B$74,VRAGENLIJST!$D$170=dropdowns!$C$74,VRAGENLIJST!$D$170=dropdowns!$D$74,VRAGENLIJST!$D$170=dropdowns!$E$74),VRAGENLIJST!$D$255*VRAGENLIJST!$D$166,0))))</f>
        <v>0</v>
      </c>
      <c r="F20" s="318">
        <f ca="1">IF(VRAGENLIJST!$D$170="",0,IF(OR(VRAGENLIJST!$D$170=dropdowns!$B$72,VRAGENLIJST!$D$170=dropdowns!$C$72,VRAGENLIJST!$D$170=dropdowns!$D$72,VRAGENLIJST!$D$170=dropdowns!$E$72),OFFSET(VRAGENLIJST!$D$255,(COLUMN(F20)-COLUMN($D$20))*2,0)*VRAGENLIJST!$D$166,IF(OR(VRAGENLIJST!$D$170=dropdowns!$B$73,VRAGENLIJST!$D$170=dropdowns!$C$73,VRAGENLIJST!$D$170=dropdowns!$D$73,VRAGENLIJST!$D$170=dropdowns!$E$73),OFFSET(VRAGENLIJST!$D$255,Liquiditeit!F3*2-4,0)*0.5*VRAGENLIJST!$D$166+(OFFSET(VRAGENLIJST!$D$255,(COLUMN(F20)-COLUMN($D$20))*2,0))*0.5*VRAGENLIJST!$D$166,IF(OR(VRAGENLIJST!$D$170=dropdowns!$B$74,VRAGENLIJST!$D$170=dropdowns!$C$74,VRAGENLIJST!$D$170=dropdowns!$D$74,VRAGENLIJST!$D$170=dropdowns!$E$74),OFFSET(VRAGENLIJST!$D$255,Liquiditeit!F3*2-4,0)*VRAGENLIJST!$D$166,IF(OR(VRAGENLIJST!$D$170=dropdowns!$B$75,VRAGENLIJST!$D$170=dropdowns!$C$75,VRAGENLIJST!$D$170=dropdowns!$D$75,VRAGENLIJST!$D$170=dropdowns!$E$75),OFFSET(VRAGENLIJST!$D$255,Liquiditeit!F3*2-6,0)*VRAGENLIJST!$D$166,IF(OR(VRAGENLIJST!$D$170=dropdowns!$B$76,VRAGENLIJST!$D$170=dropdowns!$C$76,VRAGENLIJST!$D$170=dropdowns!$D$76,VRAGENLIJST!$D$170=dropdowns!$E$76),VRAGENLIJST!$D$255*VRAGENLIJST!$D$166,0))))))</f>
        <v>0</v>
      </c>
      <c r="G20" s="318">
        <f ca="1">IF(VRAGENLIJST!$D$170="",0,IF(OR(VRAGENLIJST!$D$170=dropdowns!$B$72,VRAGENLIJST!$D$170=dropdowns!$C$72,VRAGENLIJST!$D$170=dropdowns!$D$72,VRAGENLIJST!$D$170=dropdowns!$E$72),OFFSET(VRAGENLIJST!$D$255,(COLUMN(G20)-COLUMN($D$20))*2,0)*VRAGENLIJST!$D$166,IF(OR(VRAGENLIJST!$D$170=dropdowns!$B$73,VRAGENLIJST!$D$170=dropdowns!$C$73,VRAGENLIJST!$D$170=dropdowns!$D$73,VRAGENLIJST!$D$170=dropdowns!$E$73),OFFSET(VRAGENLIJST!$D$255,Liquiditeit!G3*2-4,0)*0.5*VRAGENLIJST!$D$166+(OFFSET(VRAGENLIJST!$D$255,(COLUMN(G20)-COLUMN($D$20))*2,0))*0.5*VRAGENLIJST!$D$166,IF(OR(VRAGENLIJST!$D$170=dropdowns!$B$74,VRAGENLIJST!$D$170=dropdowns!$C$74,VRAGENLIJST!$D$170=dropdowns!$D$74,VRAGENLIJST!$D$170=dropdowns!$E$74),OFFSET(VRAGENLIJST!$D$255,Liquiditeit!G3*2-4,0)*VRAGENLIJST!$D$166,IF(OR(VRAGENLIJST!$D$170=dropdowns!$B$75,VRAGENLIJST!$D$170=dropdowns!$C$75,VRAGENLIJST!$D$170=dropdowns!$D$75,VRAGENLIJST!$D$170=dropdowns!$E$75),OFFSET(VRAGENLIJST!$D$255,Liquiditeit!G3*2-6,0)*VRAGENLIJST!$D$166,IF(OR(VRAGENLIJST!$D$170=dropdowns!$B$76,VRAGENLIJST!$D$170=dropdowns!$C$76,VRAGENLIJST!$D$170=dropdowns!$D$76,VRAGENLIJST!$D$170=dropdowns!$E$76),VRAGENLIJST!$D$255*VRAGENLIJST!$D$166,0))))))</f>
        <v>0</v>
      </c>
      <c r="H20" s="318">
        <f ca="1">IF(VRAGENLIJST!$D$170="",0,IF(OR(VRAGENLIJST!$D$170=dropdowns!$B$72,VRAGENLIJST!$D$170=dropdowns!$C$72,VRAGENLIJST!$D$170=dropdowns!$D$72,VRAGENLIJST!$D$170=dropdowns!$E$72),OFFSET(VRAGENLIJST!$D$255,(COLUMN(H20)-COLUMN($D$20))*2,0)*VRAGENLIJST!$D$166,IF(OR(VRAGENLIJST!$D$170=dropdowns!$B$73,VRAGENLIJST!$D$170=dropdowns!$C$73,VRAGENLIJST!$D$170=dropdowns!$D$73,VRAGENLIJST!$D$170=dropdowns!$E$73),OFFSET(VRAGENLIJST!$D$255,Liquiditeit!H3*2-4,0)*0.5*VRAGENLIJST!$D$166+(OFFSET(VRAGENLIJST!$D$255,(COLUMN(H20)-COLUMN($D$20))*2,0))*0.5*VRAGENLIJST!$D$166,IF(OR(VRAGENLIJST!$D$170=dropdowns!$B$74,VRAGENLIJST!$D$170=dropdowns!$C$74,VRAGENLIJST!$D$170=dropdowns!$D$74,VRAGENLIJST!$D$170=dropdowns!$E$74),OFFSET(VRAGENLIJST!$D$255,Liquiditeit!H3*2-4,0)*VRAGENLIJST!$D$166,IF(OR(VRAGENLIJST!$D$170=dropdowns!$B$75,VRAGENLIJST!$D$170=dropdowns!$C$75,VRAGENLIJST!$D$170=dropdowns!$D$75,VRAGENLIJST!$D$170=dropdowns!$E$75),OFFSET(VRAGENLIJST!$D$255,Liquiditeit!H3*2-6,0)*VRAGENLIJST!$D$166,IF(OR(VRAGENLIJST!$D$170=dropdowns!$B$76,VRAGENLIJST!$D$170=dropdowns!$C$76,VRAGENLIJST!$D$170=dropdowns!$D$76,VRAGENLIJST!$D$170=dropdowns!$E$76),OFFSET(VRAGENLIJST!$D$255,Liquiditeit!H3*2-8,0)*VRAGENLIJST!$D$166,0))))))</f>
        <v>0</v>
      </c>
      <c r="I20" s="318">
        <f ca="1">IF(VRAGENLIJST!$D$170="",0,IF(OR(VRAGENLIJST!$D$170=dropdowns!$B$72,VRAGENLIJST!$D$170=dropdowns!$C$72,VRAGENLIJST!$D$170=dropdowns!$D$72,VRAGENLIJST!$D$170=dropdowns!$E$72),OFFSET(VRAGENLIJST!$D$255,(COLUMN(I20)-COLUMN($D$20))*2,0)*VRAGENLIJST!$D$166,IF(OR(VRAGENLIJST!$D$170=dropdowns!$B$73,VRAGENLIJST!$D$170=dropdowns!$C$73,VRAGENLIJST!$D$170=dropdowns!$D$73,VRAGENLIJST!$D$170=dropdowns!$E$73),OFFSET(VRAGENLIJST!$D$255,Liquiditeit!I3*2-4,0)*0.5*VRAGENLIJST!$D$166+(OFFSET(VRAGENLIJST!$D$255,(COLUMN(I20)-COLUMN($D$20))*2,0))*0.5*VRAGENLIJST!$D$166,IF(OR(VRAGENLIJST!$D$170=dropdowns!$B$74,VRAGENLIJST!$D$170=dropdowns!$C$74,VRAGENLIJST!$D$170=dropdowns!$D$74,VRAGENLIJST!$D$170=dropdowns!$E$74),OFFSET(VRAGENLIJST!$D$255,Liquiditeit!I3*2-4,0)*VRAGENLIJST!$D$166,IF(OR(VRAGENLIJST!$D$170=dropdowns!$B$75,VRAGENLIJST!$D$170=dropdowns!$C$75,VRAGENLIJST!$D$170=dropdowns!$D$75,VRAGENLIJST!$D$170=dropdowns!$E$75),OFFSET(VRAGENLIJST!$D$255,Liquiditeit!I3*2-6,0)*VRAGENLIJST!$D$166,IF(OR(VRAGENLIJST!$D$170=dropdowns!$B$76,VRAGENLIJST!$D$170=dropdowns!$C$76,VRAGENLIJST!$D$170=dropdowns!$D$76,VRAGENLIJST!$D$170=dropdowns!$E$76),OFFSET(VRAGENLIJST!$D$255,Liquiditeit!I3*2-8,0)*VRAGENLIJST!$D$166,0))))))</f>
        <v>0</v>
      </c>
      <c r="J20" s="318">
        <f ca="1">IF(VRAGENLIJST!$D$170="",0,IF(OR(VRAGENLIJST!$D$170=dropdowns!$B$72,VRAGENLIJST!$D$170=dropdowns!$C$72,VRAGENLIJST!$D$170=dropdowns!$D$72,VRAGENLIJST!$D$170=dropdowns!$E$72),OFFSET(VRAGENLIJST!$D$255,(COLUMN(J20)-COLUMN($D$20))*2,0)*VRAGENLIJST!$D$166,IF(OR(VRAGENLIJST!$D$170=dropdowns!$B$73,VRAGENLIJST!$D$170=dropdowns!$C$73,VRAGENLIJST!$D$170=dropdowns!$D$73,VRAGENLIJST!$D$170=dropdowns!$E$73),OFFSET(VRAGENLIJST!$D$255,Liquiditeit!J3*2-4,0)*0.5*VRAGENLIJST!$D$166+(OFFSET(VRAGENLIJST!$D$255,(COLUMN(J20)-COLUMN($D$20))*2,0))*0.5*VRAGENLIJST!$D$166,IF(OR(VRAGENLIJST!$D$170=dropdowns!$B$74,VRAGENLIJST!$D$170=dropdowns!$C$74,VRAGENLIJST!$D$170=dropdowns!$D$74,VRAGENLIJST!$D$170=dropdowns!$E$74),OFFSET(VRAGENLIJST!$D$255,Liquiditeit!J3*2-4,0)*VRAGENLIJST!$D$166,IF(OR(VRAGENLIJST!$D$170=dropdowns!$B$75,VRAGENLIJST!$D$170=dropdowns!$C$75,VRAGENLIJST!$D$170=dropdowns!$D$75,VRAGENLIJST!$D$170=dropdowns!$E$75),OFFSET(VRAGENLIJST!$D$255,Liquiditeit!J3*2-6,0)*VRAGENLIJST!$D$166,IF(OR(VRAGENLIJST!$D$170=dropdowns!$B$76,VRAGENLIJST!$D$170=dropdowns!$C$76,VRAGENLIJST!$D$170=dropdowns!$D$76,VRAGENLIJST!$D$170=dropdowns!$E$76),OFFSET(VRAGENLIJST!$D$255,Liquiditeit!J3*2-8,0)*VRAGENLIJST!$D$166,0))))))</f>
        <v>0</v>
      </c>
      <c r="K20" s="318">
        <f ca="1">IF(VRAGENLIJST!$D$170="",0,IF(OR(VRAGENLIJST!$D$170=dropdowns!$B$72,VRAGENLIJST!$D$170=dropdowns!$C$72,VRAGENLIJST!$D$170=dropdowns!$D$72,VRAGENLIJST!$D$170=dropdowns!$E$72),OFFSET(VRAGENLIJST!$D$255,(COLUMN(K20)-COLUMN($D$20))*2,0)*VRAGENLIJST!$D$166,IF(OR(VRAGENLIJST!$D$170=dropdowns!$B$73,VRAGENLIJST!$D$170=dropdowns!$C$73,VRAGENLIJST!$D$170=dropdowns!$D$73,VRAGENLIJST!$D$170=dropdowns!$E$73),OFFSET(VRAGENLIJST!$D$255,Liquiditeit!K3*2-4,0)*0.5*VRAGENLIJST!$D$166+(OFFSET(VRAGENLIJST!$D$255,(COLUMN(K20)-COLUMN($D$20))*2,0))*0.5*VRAGENLIJST!$D$166,IF(OR(VRAGENLIJST!$D$170=dropdowns!$B$74,VRAGENLIJST!$D$170=dropdowns!$C$74,VRAGENLIJST!$D$170=dropdowns!$D$74,VRAGENLIJST!$D$170=dropdowns!$E$74),OFFSET(VRAGENLIJST!$D$255,Liquiditeit!K3*2-4,0)*VRAGENLIJST!$D$166,IF(OR(VRAGENLIJST!$D$170=dropdowns!$B$75,VRAGENLIJST!$D$170=dropdowns!$C$75,VRAGENLIJST!$D$170=dropdowns!$D$75,VRAGENLIJST!$D$170=dropdowns!$E$75),OFFSET(VRAGENLIJST!$D$255,Liquiditeit!K3*2-6,0)*VRAGENLIJST!$D$166,IF(OR(VRAGENLIJST!$D$170=dropdowns!$B$76,VRAGENLIJST!$D$170=dropdowns!$C$76,VRAGENLIJST!$D$170=dropdowns!$D$76,VRAGENLIJST!$D$170=dropdowns!$E$76),OFFSET(VRAGENLIJST!$D$255,Liquiditeit!K3*2-8,0)*VRAGENLIJST!$D$166,0))))))</f>
        <v>0</v>
      </c>
      <c r="L20" s="318">
        <f ca="1">IF(VRAGENLIJST!$D$170="",0,IF(OR(VRAGENLIJST!$D$170=dropdowns!$B$72,VRAGENLIJST!$D$170=dropdowns!$C$72,VRAGENLIJST!$D$170=dropdowns!$D$72,VRAGENLIJST!$D$170=dropdowns!$E$72),OFFSET(VRAGENLIJST!$D$255,(COLUMN(L20)-COLUMN($D$20))*2,0)*VRAGENLIJST!$D$166,IF(OR(VRAGENLIJST!$D$170=dropdowns!$B$73,VRAGENLIJST!$D$170=dropdowns!$C$73,VRAGENLIJST!$D$170=dropdowns!$D$73,VRAGENLIJST!$D$170=dropdowns!$E$73),OFFSET(VRAGENLIJST!$D$255,Liquiditeit!L3*2-4,0)*0.5*VRAGENLIJST!$D$166+(OFFSET(VRAGENLIJST!$D$255,(COLUMN(L20)-COLUMN($D$20))*2,0))*0.5*VRAGENLIJST!$D$166,IF(OR(VRAGENLIJST!$D$170=dropdowns!$B$74,VRAGENLIJST!$D$170=dropdowns!$C$74,VRAGENLIJST!$D$170=dropdowns!$D$74,VRAGENLIJST!$D$170=dropdowns!$E$74),OFFSET(VRAGENLIJST!$D$255,Liquiditeit!L3*2-4,0)*VRAGENLIJST!$D$166,IF(OR(VRAGENLIJST!$D$170=dropdowns!$B$75,VRAGENLIJST!$D$170=dropdowns!$C$75,VRAGENLIJST!$D$170=dropdowns!$D$75,VRAGENLIJST!$D$170=dropdowns!$E$75),OFFSET(VRAGENLIJST!$D$255,Liquiditeit!L3*2-6,0)*VRAGENLIJST!$D$166,IF(OR(VRAGENLIJST!$D$170=dropdowns!$B$76,VRAGENLIJST!$D$170=dropdowns!$C$76,VRAGENLIJST!$D$170=dropdowns!$D$76,VRAGENLIJST!$D$170=dropdowns!$E$76),OFFSET(VRAGENLIJST!$D$255,Liquiditeit!L3*2-8,0)*VRAGENLIJST!$D$166,0))))))</f>
        <v>0</v>
      </c>
      <c r="M20" s="318">
        <f ca="1">IF(VRAGENLIJST!$D$170="",0,IF(OR(VRAGENLIJST!$D$170=dropdowns!$B$72,VRAGENLIJST!$D$170=dropdowns!$C$72,VRAGENLIJST!$D$170=dropdowns!$D$72,VRAGENLIJST!$D$170=dropdowns!$E$72),OFFSET(VRAGENLIJST!$D$255,(COLUMN(M20)-COLUMN($D$20))*2,0)*VRAGENLIJST!$D$166,IF(OR(VRAGENLIJST!$D$170=dropdowns!$B$73,VRAGENLIJST!$D$170=dropdowns!$C$73,VRAGENLIJST!$D$170=dropdowns!$D$73,VRAGENLIJST!$D$170=dropdowns!$E$73),OFFSET(VRAGENLIJST!$D$255,Liquiditeit!M3*2-4,0)*0.5*VRAGENLIJST!$D$166+(OFFSET(VRAGENLIJST!$D$255,(COLUMN(M20)-COLUMN($D$20))*2,0))*0.5*VRAGENLIJST!$D$166,IF(OR(VRAGENLIJST!$D$170=dropdowns!$B$74,VRAGENLIJST!$D$170=dropdowns!$C$74,VRAGENLIJST!$D$170=dropdowns!$D$74,VRAGENLIJST!$D$170=dropdowns!$E$74),OFFSET(VRAGENLIJST!$D$255,Liquiditeit!M3*2-4,0)*VRAGENLIJST!$D$166,IF(OR(VRAGENLIJST!$D$170=dropdowns!$B$75,VRAGENLIJST!$D$170=dropdowns!$C$75,VRAGENLIJST!$D$170=dropdowns!$D$75,VRAGENLIJST!$D$170=dropdowns!$E$75),OFFSET(VRAGENLIJST!$D$255,Liquiditeit!M3*2-6,0)*VRAGENLIJST!$D$166,IF(OR(VRAGENLIJST!$D$170=dropdowns!$B$76,VRAGENLIJST!$D$170=dropdowns!$C$76,VRAGENLIJST!$D$170=dropdowns!$D$76,VRAGENLIJST!$D$170=dropdowns!$E$76),OFFSET(VRAGENLIJST!$D$255,Liquiditeit!M3*2-8,0)*VRAGENLIJST!$D$166,0))))))</f>
        <v>0</v>
      </c>
      <c r="N20" s="318">
        <f ca="1">IF(VRAGENLIJST!$D$170="",0,IF(OR(VRAGENLIJST!$D$170=dropdowns!$B$72,VRAGENLIJST!$D$170=dropdowns!$C$72,VRAGENLIJST!$D$170=dropdowns!$D$72,VRAGENLIJST!$D$170=dropdowns!$E$72),OFFSET(VRAGENLIJST!$D$255,(COLUMN(N20)-COLUMN($D$20))*2,0)*VRAGENLIJST!$D$166,IF(OR(VRAGENLIJST!$D$170=dropdowns!$B$73,VRAGENLIJST!$D$170=dropdowns!$C$73,VRAGENLIJST!$D$170=dropdowns!$D$73,VRAGENLIJST!$D$170=dropdowns!$E$73),OFFSET(VRAGENLIJST!$D$255,Liquiditeit!N3*2-4,0)*0.5*VRAGENLIJST!$D$166+(OFFSET(VRAGENLIJST!$D$255,(COLUMN(N20)-COLUMN($D$20))*2,0))*0.5*VRAGENLIJST!$D$166,IF(OR(VRAGENLIJST!$D$170=dropdowns!$B$74,VRAGENLIJST!$D$170=dropdowns!$C$74,VRAGENLIJST!$D$170=dropdowns!$D$74,VRAGENLIJST!$D$170=dropdowns!$E$74),OFFSET(VRAGENLIJST!$D$255,Liquiditeit!N3*2-4,0)*VRAGENLIJST!$D$166,IF(OR(VRAGENLIJST!$D$170=dropdowns!$B$75,VRAGENLIJST!$D$170=dropdowns!$C$75,VRAGENLIJST!$D$170=dropdowns!$D$75,VRAGENLIJST!$D$170=dropdowns!$E$75),OFFSET(VRAGENLIJST!$D$255,Liquiditeit!N3*2-6,0)*VRAGENLIJST!$D$166,IF(OR(VRAGENLIJST!$D$170=dropdowns!$B$76,VRAGENLIJST!$D$170=dropdowns!$C$76,VRAGENLIJST!$D$170=dropdowns!$D$76,VRAGENLIJST!$D$170=dropdowns!$E$76),OFFSET(VRAGENLIJST!$D$255,Liquiditeit!N3*2-8,0)*VRAGENLIJST!$D$166,0))))))</f>
        <v>0</v>
      </c>
      <c r="O20" s="318">
        <f ca="1">IF(VRAGENLIJST!$D$170="",0,IF(OR(VRAGENLIJST!$D$170=dropdowns!$B$72,VRAGENLIJST!$D$170=dropdowns!$C$72,VRAGENLIJST!$D$170=dropdowns!$D$72,VRAGENLIJST!$D$170=dropdowns!$E$72),OFFSET(VRAGENLIJST!$D$255,(COLUMN(O20)-COLUMN($D$20))*2,0)*VRAGENLIJST!$D$166,IF(OR(VRAGENLIJST!$D$170=dropdowns!$B$73,VRAGENLIJST!$D$170=dropdowns!$C$73,VRAGENLIJST!$D$170=dropdowns!$D$73,VRAGENLIJST!$D$170=dropdowns!$E$73),OFFSET(VRAGENLIJST!$D$255,Liquiditeit!O3*2-4,0)*0.5*VRAGENLIJST!$D$166+(OFFSET(VRAGENLIJST!$D$255,(COLUMN(O20)-COLUMN($D$20))*2,0))*0.5*VRAGENLIJST!$D$166,IF(OR(VRAGENLIJST!$D$170=dropdowns!$B$74,VRAGENLIJST!$D$170=dropdowns!$C$74,VRAGENLIJST!$D$170=dropdowns!$D$74,VRAGENLIJST!$D$170=dropdowns!$E$74),OFFSET(VRAGENLIJST!$D$255,Liquiditeit!O3*2-4,0)*VRAGENLIJST!$D$166,IF(OR(VRAGENLIJST!$D$170=dropdowns!$B$75,VRAGENLIJST!$D$170=dropdowns!$C$75,VRAGENLIJST!$D$170=dropdowns!$D$75,VRAGENLIJST!$D$170=dropdowns!$E$75),OFFSET(VRAGENLIJST!$D$255,Liquiditeit!O3*2-6,0)*VRAGENLIJST!$D$166,IF(OR(VRAGENLIJST!$D$170=dropdowns!$B$76,VRAGENLIJST!$D$170=dropdowns!$C$76,VRAGENLIJST!$D$170=dropdowns!$D$76,VRAGENLIJST!$D$170=dropdowns!$E$76),OFFSET(VRAGENLIJST!$D$255,Liquiditeit!O3*2-8,0)*VRAGENLIJST!$D$166,0))))))</f>
        <v>0</v>
      </c>
      <c r="P20" s="320">
        <f ca="1">SUM(C20:O20)</f>
        <v>0</v>
      </c>
      <c r="Q20" s="318">
        <f ca="1">IF(VRAGENLIJST!$D$170="",0,IF(OR(VRAGENLIJST!$D$170=dropdowns!$B$72,VRAGENLIJST!$D$170=dropdowns!$C$72,VRAGENLIJST!$D$170=dropdowns!$D$72,VRAGENLIJST!$D$170=dropdowns!$E$72),OFFSET(VRAGENLIJST!$D$255,(COLUMN(Q20)-COLUMN($E$20))*2,0)*VRAGENLIJST!$D$166,IF(OR(VRAGENLIJST!$D$170=dropdowns!$B$73,VRAGENLIJST!$D$170=dropdowns!$C$73,VRAGENLIJST!$D$170=dropdowns!$D$73,VRAGENLIJST!$D$170=dropdowns!$E$73),OFFSET(VRAGENLIJST!$D$255,Liquiditeit!Q3*2-4,0)*0.5*VRAGENLIJST!$D$166+(OFFSET(VRAGENLIJST!$D$255,(COLUMN(Q20)-COLUMN($E$20))*2,0))*0.5*VRAGENLIJST!$D$166,IF(OR(VRAGENLIJST!$D$170=dropdowns!$B$74,VRAGENLIJST!$D$170=dropdowns!$C$74,VRAGENLIJST!$D$170=dropdowns!$D$74,VRAGENLIJST!$D$170=dropdowns!$E$74),OFFSET(VRAGENLIJST!$D$255,Liquiditeit!Q3*2-4,0)*VRAGENLIJST!$D$166,IF(OR(VRAGENLIJST!$D$170=dropdowns!$B$75,VRAGENLIJST!$D$170=dropdowns!$C$75,VRAGENLIJST!$D$170=dropdowns!$D$75,VRAGENLIJST!$D$170=dropdowns!$E$75),OFFSET(VRAGENLIJST!$D$255,Liquiditeit!Q3*2-6,0)*VRAGENLIJST!$D$166,IF(OR(VRAGENLIJST!$D$170=dropdowns!$B$76,VRAGENLIJST!$D$170=dropdowns!$C$76,VRAGENLIJST!$D$170=dropdowns!$D$76,VRAGENLIJST!$D$170=dropdowns!$E$76),OFFSET(VRAGENLIJST!$D$255,Liquiditeit!Q3*2-8,0)*VRAGENLIJST!$D$166,0))))))</f>
        <v>0</v>
      </c>
      <c r="R20" s="318">
        <f ca="1">IF(VRAGENLIJST!$D$170="",0,IF(OR(VRAGENLIJST!$D$170=dropdowns!$B$72,VRAGENLIJST!$D$170=dropdowns!$C$72,VRAGENLIJST!$D$170=dropdowns!$D$72,VRAGENLIJST!$D$170=dropdowns!$E$72),OFFSET(VRAGENLIJST!$D$255,(COLUMN(R20)-COLUMN($E$20))*2,0)*VRAGENLIJST!$D$166,IF(OR(VRAGENLIJST!$D$170=dropdowns!$B$73,VRAGENLIJST!$D$170=dropdowns!$C$73,VRAGENLIJST!$D$170=dropdowns!$D$73,VRAGENLIJST!$D$170=dropdowns!$E$73),OFFSET(VRAGENLIJST!$D$255,Liquiditeit!R3*2-4,0)*0.5*VRAGENLIJST!$D$166+(OFFSET(VRAGENLIJST!$D$255,(COLUMN(R20)-COLUMN($E$20))*2,0))*0.5*VRAGENLIJST!$D$166,IF(OR(VRAGENLIJST!$D$170=dropdowns!$B$74,VRAGENLIJST!$D$170=dropdowns!$C$74,VRAGENLIJST!$D$170=dropdowns!$D$74,VRAGENLIJST!$D$170=dropdowns!$E$74),OFFSET(VRAGENLIJST!$D$255,Liquiditeit!R3*2-4,0)*VRAGENLIJST!$D$166,IF(OR(VRAGENLIJST!$D$170=dropdowns!$B$75,VRAGENLIJST!$D$170=dropdowns!$C$75,VRAGENLIJST!$D$170=dropdowns!$D$75,VRAGENLIJST!$D$170=dropdowns!$E$75),OFFSET(VRAGENLIJST!$D$255,Liquiditeit!R3*2-6,0)*VRAGENLIJST!$D$166,IF(OR(VRAGENLIJST!$D$170=dropdowns!$B$76,VRAGENLIJST!$D$170=dropdowns!$C$76,VRAGENLIJST!$D$170=dropdowns!$D$76,VRAGENLIJST!$D$170=dropdowns!$E$76),OFFSET(VRAGENLIJST!$D$255,Liquiditeit!R3*2-8,0)*VRAGENLIJST!$D$166,0))))))</f>
        <v>0</v>
      </c>
      <c r="S20" s="318">
        <f ca="1">IF(VRAGENLIJST!$D$170="",0,IF(OR(VRAGENLIJST!$D$170=dropdowns!$B$72,VRAGENLIJST!$D$170=dropdowns!$C$72,VRAGENLIJST!$D$170=dropdowns!$D$72,VRAGENLIJST!$D$170=dropdowns!$E$72),OFFSET(VRAGENLIJST!$D$255,(COLUMN(S20)-COLUMN($E$20))*2,0)*VRAGENLIJST!$D$166,IF(OR(VRAGENLIJST!$D$170=dropdowns!$B$73,VRAGENLIJST!$D$170=dropdowns!$C$73,VRAGENLIJST!$D$170=dropdowns!$D$73,VRAGENLIJST!$D$170=dropdowns!$E$73),OFFSET(VRAGENLIJST!$D$255,Liquiditeit!S3*2-4,0)*0.5*VRAGENLIJST!$D$166+(OFFSET(VRAGENLIJST!$D$255,(COLUMN(S20)-COLUMN($E$20))*2,0))*0.5*VRAGENLIJST!$D$166,IF(OR(VRAGENLIJST!$D$170=dropdowns!$B$74,VRAGENLIJST!$D$170=dropdowns!$C$74,VRAGENLIJST!$D$170=dropdowns!$D$74,VRAGENLIJST!$D$170=dropdowns!$E$74),OFFSET(VRAGENLIJST!$D$255,Liquiditeit!S3*2-4,0)*VRAGENLIJST!$D$166,IF(OR(VRAGENLIJST!$D$170=dropdowns!$B$75,VRAGENLIJST!$D$170=dropdowns!$C$75,VRAGENLIJST!$D$170=dropdowns!$D$75,VRAGENLIJST!$D$170=dropdowns!$E$75),OFFSET(VRAGENLIJST!$D$255,Liquiditeit!S3*2-6,0)*VRAGENLIJST!$D$166,IF(OR(VRAGENLIJST!$D$170=dropdowns!$B$76,VRAGENLIJST!$D$170=dropdowns!$C$76,VRAGENLIJST!$D$170=dropdowns!$D$76,VRAGENLIJST!$D$170=dropdowns!$E$76),OFFSET(VRAGENLIJST!$D$255,Liquiditeit!S3*2-8,0)*VRAGENLIJST!$D$166,0))))))</f>
        <v>0</v>
      </c>
      <c r="T20" s="318">
        <f ca="1">IF(VRAGENLIJST!$D$170="",0,IF(OR(VRAGENLIJST!$D$170=dropdowns!$B$72,VRAGENLIJST!$D$170=dropdowns!$C$72,VRAGENLIJST!$D$170=dropdowns!$D$72,VRAGENLIJST!$D$170=dropdowns!$E$72),OFFSET(VRAGENLIJST!$D$255,(COLUMN(T20)-COLUMN($E$20))*2,0)*VRAGENLIJST!$D$166,IF(OR(VRAGENLIJST!$D$170=dropdowns!$B$73,VRAGENLIJST!$D$170=dropdowns!$C$73,VRAGENLIJST!$D$170=dropdowns!$D$73,VRAGENLIJST!$D$170=dropdowns!$E$73),OFFSET(VRAGENLIJST!$D$255,Liquiditeit!T3*2-4,0)*0.5*VRAGENLIJST!$D$166+(OFFSET(VRAGENLIJST!$D$255,(COLUMN(T20)-COLUMN($E$20))*2,0))*0.5*VRAGENLIJST!$D$166,IF(OR(VRAGENLIJST!$D$170=dropdowns!$B$74,VRAGENLIJST!$D$170=dropdowns!$C$74,VRAGENLIJST!$D$170=dropdowns!$D$74,VRAGENLIJST!$D$170=dropdowns!$E$74),OFFSET(VRAGENLIJST!$D$255,Liquiditeit!T3*2-4,0)*VRAGENLIJST!$D$166,IF(OR(VRAGENLIJST!$D$170=dropdowns!$B$75,VRAGENLIJST!$D$170=dropdowns!$C$75,VRAGENLIJST!$D$170=dropdowns!$D$75,VRAGENLIJST!$D$170=dropdowns!$E$75),OFFSET(VRAGENLIJST!$D$255,Liquiditeit!T3*2-6,0)*VRAGENLIJST!$D$166,IF(OR(VRAGENLIJST!$D$170=dropdowns!$B$76,VRAGENLIJST!$D$170=dropdowns!$C$76,VRAGENLIJST!$D$170=dropdowns!$D$76,VRAGENLIJST!$D$170=dropdowns!$E$76),OFFSET(VRAGENLIJST!$D$255,Liquiditeit!T3*2-8,0)*VRAGENLIJST!$D$166,0))))))</f>
        <v>0</v>
      </c>
      <c r="U20" s="318">
        <f ca="1">IF(VRAGENLIJST!$D$170="",0,IF(OR(VRAGENLIJST!$D$170=dropdowns!$B$72,VRAGENLIJST!$D$170=dropdowns!$C$72,VRAGENLIJST!$D$170=dropdowns!$D$72,VRAGENLIJST!$D$170=dropdowns!$E$72),OFFSET(VRAGENLIJST!$D$255,(COLUMN(U20)-COLUMN($E$20))*2,0)*VRAGENLIJST!$D$166,IF(OR(VRAGENLIJST!$D$170=dropdowns!$B$73,VRAGENLIJST!$D$170=dropdowns!$C$73,VRAGENLIJST!$D$170=dropdowns!$D$73,VRAGENLIJST!$D$170=dropdowns!$E$73),OFFSET(VRAGENLIJST!$D$255,Liquiditeit!U3*2-4,0)*0.5*VRAGENLIJST!$D$166+(OFFSET(VRAGENLIJST!$D$255,(COLUMN(U20)-COLUMN($E$20))*2,0))*0.5*VRAGENLIJST!$D$166,IF(OR(VRAGENLIJST!$D$170=dropdowns!$B$74,VRAGENLIJST!$D$170=dropdowns!$C$74,VRAGENLIJST!$D$170=dropdowns!$D$74,VRAGENLIJST!$D$170=dropdowns!$E$74),OFFSET(VRAGENLIJST!$D$255,Liquiditeit!U3*2-4,0)*VRAGENLIJST!$D$166,IF(OR(VRAGENLIJST!$D$170=dropdowns!$B$75,VRAGENLIJST!$D$170=dropdowns!$C$75,VRAGENLIJST!$D$170=dropdowns!$D$75,VRAGENLIJST!$D$170=dropdowns!$E$75),OFFSET(VRAGENLIJST!$D$255,Liquiditeit!U3*2-6,0)*VRAGENLIJST!$D$166,IF(OR(VRAGENLIJST!$D$170=dropdowns!$B$76,VRAGENLIJST!$D$170=dropdowns!$C$76,VRAGENLIJST!$D$170=dropdowns!$D$76,VRAGENLIJST!$D$170=dropdowns!$E$76),OFFSET(VRAGENLIJST!$D$255,Liquiditeit!U3*2-8,0)*VRAGENLIJST!$D$166,0))))))</f>
        <v>0</v>
      </c>
      <c r="V20" s="318">
        <f ca="1">IF(VRAGENLIJST!$D$170="",0,IF(OR(VRAGENLIJST!$D$170=dropdowns!$B$72,VRAGENLIJST!$D$170=dropdowns!$C$72,VRAGENLIJST!$D$170=dropdowns!$D$72,VRAGENLIJST!$D$170=dropdowns!$E$72),OFFSET(VRAGENLIJST!$D$255,(COLUMN(V20)-COLUMN($E$20))*2,0)*VRAGENLIJST!$D$166,IF(OR(VRAGENLIJST!$D$170=dropdowns!$B$73,VRAGENLIJST!$D$170=dropdowns!$C$73,VRAGENLIJST!$D$170=dropdowns!$D$73,VRAGENLIJST!$D$170=dropdowns!$E$73),OFFSET(VRAGENLIJST!$D$255,Liquiditeit!V3*2-4,0)*0.5*VRAGENLIJST!$D$166+(OFFSET(VRAGENLIJST!$D$255,(COLUMN(V20)-COLUMN($E$20))*2,0))*0.5*VRAGENLIJST!$D$166,IF(OR(VRAGENLIJST!$D$170=dropdowns!$B$74,VRAGENLIJST!$D$170=dropdowns!$C$74,VRAGENLIJST!$D$170=dropdowns!$D$74,VRAGENLIJST!$D$170=dropdowns!$E$74),OFFSET(VRAGENLIJST!$D$255,Liquiditeit!V3*2-4,0)*VRAGENLIJST!$D$166,IF(OR(VRAGENLIJST!$D$170=dropdowns!$B$75,VRAGENLIJST!$D$170=dropdowns!$C$75,VRAGENLIJST!$D$170=dropdowns!$D$75,VRAGENLIJST!$D$170=dropdowns!$E$75),OFFSET(VRAGENLIJST!$D$255,Liquiditeit!V3*2-6,0)*VRAGENLIJST!$D$166,IF(OR(VRAGENLIJST!$D$170=dropdowns!$B$76,VRAGENLIJST!$D$170=dropdowns!$C$76,VRAGENLIJST!$D$170=dropdowns!$D$76,VRAGENLIJST!$D$170=dropdowns!$E$76),OFFSET(VRAGENLIJST!$D$255,Liquiditeit!V3*2-8,0)*VRAGENLIJST!$D$166,0))))))</f>
        <v>0</v>
      </c>
      <c r="W20" s="318">
        <f ca="1">IF(VRAGENLIJST!$D$170="",0,IF(OR(VRAGENLIJST!$D$170=dropdowns!$B$72,VRAGENLIJST!$D$170=dropdowns!$C$72,VRAGENLIJST!$D$170=dropdowns!$D$72,VRAGENLIJST!$D$170=dropdowns!$E$72),OFFSET(VRAGENLIJST!$D$255,(COLUMN(W20)-COLUMN($E$20))*2,0)*VRAGENLIJST!$D$166,IF(OR(VRAGENLIJST!$D$170=dropdowns!$B$73,VRAGENLIJST!$D$170=dropdowns!$C$73,VRAGENLIJST!$D$170=dropdowns!$D$73,VRAGENLIJST!$D$170=dropdowns!$E$73),OFFSET(VRAGENLIJST!$D$255,Liquiditeit!W3*2-4,0)*0.5*VRAGENLIJST!$D$166+(OFFSET(VRAGENLIJST!$D$255,(COLUMN(W20)-COLUMN($E$20))*2,0))*0.5*VRAGENLIJST!$D$166,IF(OR(VRAGENLIJST!$D$170=dropdowns!$B$74,VRAGENLIJST!$D$170=dropdowns!$C$74,VRAGENLIJST!$D$170=dropdowns!$D$74,VRAGENLIJST!$D$170=dropdowns!$E$74),OFFSET(VRAGENLIJST!$D$255,Liquiditeit!W3*2-4,0)*VRAGENLIJST!$D$166,IF(OR(VRAGENLIJST!$D$170=dropdowns!$B$75,VRAGENLIJST!$D$170=dropdowns!$C$75,VRAGENLIJST!$D$170=dropdowns!$D$75,VRAGENLIJST!$D$170=dropdowns!$E$75),OFFSET(VRAGENLIJST!$D$255,Liquiditeit!W3*2-6,0)*VRAGENLIJST!$D$166,IF(OR(VRAGENLIJST!$D$170=dropdowns!$B$76,VRAGENLIJST!$D$170=dropdowns!$C$76,VRAGENLIJST!$D$170=dropdowns!$D$76,VRAGENLIJST!$D$170=dropdowns!$E$76),OFFSET(VRAGENLIJST!$D$255,Liquiditeit!W3*2-8,0)*VRAGENLIJST!$D$166,0))))))</f>
        <v>0</v>
      </c>
      <c r="X20" s="318">
        <f ca="1">IF(VRAGENLIJST!$D$170="",0,IF(OR(VRAGENLIJST!$D$170=dropdowns!$B$72,VRAGENLIJST!$D$170=dropdowns!$C$72,VRAGENLIJST!$D$170=dropdowns!$D$72,VRAGENLIJST!$D$170=dropdowns!$E$72),OFFSET(VRAGENLIJST!$D$255,(COLUMN(X20)-COLUMN($E$20))*2,0)*VRAGENLIJST!$D$166,IF(OR(VRAGENLIJST!$D$170=dropdowns!$B$73,VRAGENLIJST!$D$170=dropdowns!$C$73,VRAGENLIJST!$D$170=dropdowns!$D$73,VRAGENLIJST!$D$170=dropdowns!$E$73),OFFSET(VRAGENLIJST!$D$255,Liquiditeit!X3*2-4,0)*0.5*VRAGENLIJST!$D$166+(OFFSET(VRAGENLIJST!$D$255,(COLUMN(X20)-COLUMN($E$20))*2,0))*0.5*VRAGENLIJST!$D$166,IF(OR(VRAGENLIJST!$D$170=dropdowns!$B$74,VRAGENLIJST!$D$170=dropdowns!$C$74,VRAGENLIJST!$D$170=dropdowns!$D$74,VRAGENLIJST!$D$170=dropdowns!$E$74),OFFSET(VRAGENLIJST!$D$255,Liquiditeit!X3*2-4,0)*VRAGENLIJST!$D$166,IF(OR(VRAGENLIJST!$D$170=dropdowns!$B$75,VRAGENLIJST!$D$170=dropdowns!$C$75,VRAGENLIJST!$D$170=dropdowns!$D$75,VRAGENLIJST!$D$170=dropdowns!$E$75),OFFSET(VRAGENLIJST!$D$255,Liquiditeit!X3*2-6,0)*VRAGENLIJST!$D$166,IF(OR(VRAGENLIJST!$D$170=dropdowns!$B$76,VRAGENLIJST!$D$170=dropdowns!$C$76,VRAGENLIJST!$D$170=dropdowns!$D$76,VRAGENLIJST!$D$170=dropdowns!$E$76),OFFSET(VRAGENLIJST!$D$255,Liquiditeit!X3*2-8,0)*VRAGENLIJST!$D$166,0))))))</f>
        <v>0</v>
      </c>
      <c r="Y20" s="318">
        <f ca="1">IF(VRAGENLIJST!$D$170="",0,IF(OR(VRAGENLIJST!$D$170=dropdowns!$B$72,VRAGENLIJST!$D$170=dropdowns!$C$72,VRAGENLIJST!$D$170=dropdowns!$D$72,VRAGENLIJST!$D$170=dropdowns!$E$72),OFFSET(VRAGENLIJST!$D$255,(COLUMN(Y20)-COLUMN($E$20))*2,0)*VRAGENLIJST!$D$166,IF(OR(VRAGENLIJST!$D$170=dropdowns!$B$73,VRAGENLIJST!$D$170=dropdowns!$C$73,VRAGENLIJST!$D$170=dropdowns!$D$73,VRAGENLIJST!$D$170=dropdowns!$E$73),OFFSET(VRAGENLIJST!$D$255,Liquiditeit!Y3*2-4,0)*0.5*VRAGENLIJST!$D$166+(OFFSET(VRAGENLIJST!$D$255,(COLUMN(Y20)-COLUMN($E$20))*2,0))*0.5*VRAGENLIJST!$D$166,IF(OR(VRAGENLIJST!$D$170=dropdowns!$B$74,VRAGENLIJST!$D$170=dropdowns!$C$74,VRAGENLIJST!$D$170=dropdowns!$D$74,VRAGENLIJST!$D$170=dropdowns!$E$74),OFFSET(VRAGENLIJST!$D$255,Liquiditeit!Y3*2-4,0)*VRAGENLIJST!$D$166,IF(OR(VRAGENLIJST!$D$170=dropdowns!$B$75,VRAGENLIJST!$D$170=dropdowns!$C$75,VRAGENLIJST!$D$170=dropdowns!$D$75,VRAGENLIJST!$D$170=dropdowns!$E$75),OFFSET(VRAGENLIJST!$D$255,Liquiditeit!Y3*2-6,0)*VRAGENLIJST!$D$166,IF(OR(VRAGENLIJST!$D$170=dropdowns!$B$76,VRAGENLIJST!$D$170=dropdowns!$C$76,VRAGENLIJST!$D$170=dropdowns!$D$76,VRAGENLIJST!$D$170=dropdowns!$E$76),OFFSET(VRAGENLIJST!$D$255,Liquiditeit!Y3*2-8,0)*VRAGENLIJST!$D$166,0))))))</f>
        <v>0</v>
      </c>
      <c r="Z20" s="318">
        <f ca="1">IF(VRAGENLIJST!$D$170="",0,IF(OR(VRAGENLIJST!$D$170=dropdowns!$B$72,VRAGENLIJST!$D$170=dropdowns!$C$72,VRAGENLIJST!$D$170=dropdowns!$D$72,VRAGENLIJST!$D$170=dropdowns!$E$72),OFFSET(VRAGENLIJST!$D$255,(COLUMN(Z20)-COLUMN($E$20))*2,0)*VRAGENLIJST!$D$166,IF(OR(VRAGENLIJST!$D$170=dropdowns!$B$73,VRAGENLIJST!$D$170=dropdowns!$C$73,VRAGENLIJST!$D$170=dropdowns!$D$73,VRAGENLIJST!$D$170=dropdowns!$E$73),OFFSET(VRAGENLIJST!$D$255,Liquiditeit!Z3*2-4,0)*0.5*VRAGENLIJST!$D$166+(OFFSET(VRAGENLIJST!$D$255,(COLUMN(Z20)-COLUMN($E$20))*2,0))*0.5*VRAGENLIJST!$D$166,IF(OR(VRAGENLIJST!$D$170=dropdowns!$B$74,VRAGENLIJST!$D$170=dropdowns!$C$74,VRAGENLIJST!$D$170=dropdowns!$D$74,VRAGENLIJST!$D$170=dropdowns!$E$74),OFFSET(VRAGENLIJST!$D$255,Liquiditeit!Z3*2-4,0)*VRAGENLIJST!$D$166,IF(OR(VRAGENLIJST!$D$170=dropdowns!$B$75,VRAGENLIJST!$D$170=dropdowns!$C$75,VRAGENLIJST!$D$170=dropdowns!$D$75,VRAGENLIJST!$D$170=dropdowns!$E$75),OFFSET(VRAGENLIJST!$D$255,Liquiditeit!Z3*2-6,0)*VRAGENLIJST!$D$166,IF(OR(VRAGENLIJST!$D$170=dropdowns!$B$76,VRAGENLIJST!$D$170=dropdowns!$C$76,VRAGENLIJST!$D$170=dropdowns!$D$76,VRAGENLIJST!$D$170=dropdowns!$E$76),OFFSET(VRAGENLIJST!$D$255,Liquiditeit!Z3*2-8,0)*VRAGENLIJST!$D$166,0))))))</f>
        <v>0</v>
      </c>
      <c r="AA20" s="318">
        <f ca="1">IF(VRAGENLIJST!$D$170="",0,IF(OR(VRAGENLIJST!$D$170=dropdowns!$B$72,VRAGENLIJST!$D$170=dropdowns!$C$72,VRAGENLIJST!$D$170=dropdowns!$D$72,VRAGENLIJST!$D$170=dropdowns!$E$72),OFFSET(VRAGENLIJST!$D$255,(COLUMN(AA20)-COLUMN($E$20))*2,0)*VRAGENLIJST!$D$166,IF(OR(VRAGENLIJST!$D$170=dropdowns!$B$73,VRAGENLIJST!$D$170=dropdowns!$C$73,VRAGENLIJST!$D$170=dropdowns!$D$73,VRAGENLIJST!$D$170=dropdowns!$E$73),OFFSET(VRAGENLIJST!$D$255,Liquiditeit!AA3*2-4,0)*0.5*VRAGENLIJST!$D$166+(OFFSET(VRAGENLIJST!$D$255,(COLUMN(AA20)-COLUMN($E$20))*2,0))*0.5*VRAGENLIJST!$D$166,IF(OR(VRAGENLIJST!$D$170=dropdowns!$B$74,VRAGENLIJST!$D$170=dropdowns!$C$74,VRAGENLIJST!$D$170=dropdowns!$D$74,VRAGENLIJST!$D$170=dropdowns!$E$74),OFFSET(VRAGENLIJST!$D$255,Liquiditeit!AA3*2-4,0)*VRAGENLIJST!$D$166,IF(OR(VRAGENLIJST!$D$170=dropdowns!$B$75,VRAGENLIJST!$D$170=dropdowns!$C$75,VRAGENLIJST!$D$170=dropdowns!$D$75,VRAGENLIJST!$D$170=dropdowns!$E$75),OFFSET(VRAGENLIJST!$D$255,Liquiditeit!AA3*2-6,0)*VRAGENLIJST!$D$166,IF(OR(VRAGENLIJST!$D$170=dropdowns!$B$76,VRAGENLIJST!$D$170=dropdowns!$C$76,VRAGENLIJST!$D$170=dropdowns!$D$76,VRAGENLIJST!$D$170=dropdowns!$E$76),OFFSET(VRAGENLIJST!$D$255,Liquiditeit!AA3*2-8,0)*VRAGENLIJST!$D$166,0))))))</f>
        <v>0</v>
      </c>
      <c r="AB20" s="318">
        <f ca="1">IF(VRAGENLIJST!$D$170="",0,IF(OR(VRAGENLIJST!$D$170=dropdowns!$B$72,VRAGENLIJST!$D$170=dropdowns!$C$72,VRAGENLIJST!$D$170=dropdowns!$D$72,VRAGENLIJST!$D$170=dropdowns!$E$72),OFFSET(VRAGENLIJST!$D$255,(COLUMN(AB20)-COLUMN($E$20))*2,0)*VRAGENLIJST!$D$166,IF(OR(VRAGENLIJST!$D$170=dropdowns!$B$73,VRAGENLIJST!$D$170=dropdowns!$C$73,VRAGENLIJST!$D$170=dropdowns!$D$73,VRAGENLIJST!$D$170=dropdowns!$E$73),OFFSET(VRAGENLIJST!$D$255,Liquiditeit!AB3*2-4,0)*0.5*VRAGENLIJST!$D$166+(OFFSET(VRAGENLIJST!$D$255,(COLUMN(AB20)-COLUMN($E$20))*2,0))*0.5*VRAGENLIJST!$D$166,IF(OR(VRAGENLIJST!$D$170=dropdowns!$B$74,VRAGENLIJST!$D$170=dropdowns!$C$74,VRAGENLIJST!$D$170=dropdowns!$D$74,VRAGENLIJST!$D$170=dropdowns!$E$74),OFFSET(VRAGENLIJST!$D$255,Liquiditeit!AB3*2-4,0)*VRAGENLIJST!$D$166,IF(OR(VRAGENLIJST!$D$170=dropdowns!$B$75,VRAGENLIJST!$D$170=dropdowns!$C$75,VRAGENLIJST!$D$170=dropdowns!$D$75,VRAGENLIJST!$D$170=dropdowns!$E$75),OFFSET(VRAGENLIJST!$D$255,Liquiditeit!AB3*2-6,0)*VRAGENLIJST!$D$166,IF(OR(VRAGENLIJST!$D$170=dropdowns!$B$76,VRAGENLIJST!$D$170=dropdowns!$C$76,VRAGENLIJST!$D$170=dropdowns!$D$76,VRAGENLIJST!$D$170=dropdowns!$E$76),OFFSET(VRAGENLIJST!$D$255,Liquiditeit!AB3*2-8,0)*VRAGENLIJST!$D$166,0))))))</f>
        <v>0</v>
      </c>
      <c r="AC20" s="320">
        <f ca="1">SUM(P20:AB20)</f>
        <v>0</v>
      </c>
      <c r="AD20" s="318">
        <f ca="1">IF(VRAGENLIJST!$D$170="",0,IF(OR(VRAGENLIJST!$D$170=dropdowns!$B$72,VRAGENLIJST!$D$170=dropdowns!$C$72,VRAGENLIJST!$D$170=dropdowns!$D$72,VRAGENLIJST!$D$170=dropdowns!$E$72),OFFSET(VRAGENLIJST!$D$255,(COLUMN(AD20)-COLUMN($F$20))*2,0)*VRAGENLIJST!$D$166,IF(OR(VRAGENLIJST!$D$170=dropdowns!$B$73,VRAGENLIJST!$D$170=dropdowns!$C$73,VRAGENLIJST!$D$170=dropdowns!$D$73,VRAGENLIJST!$D$170=dropdowns!$E$73),OFFSET(VRAGENLIJST!$D$255,Liquiditeit!AD3*2-4,0)*0.5*VRAGENLIJST!$D$166+(OFFSET(VRAGENLIJST!$D$255,(COLUMN(AD20)-COLUMN($F$20))*2,0))*0.5*VRAGENLIJST!$D$166,IF(OR(VRAGENLIJST!$D$170=dropdowns!$B$74,VRAGENLIJST!$D$170=dropdowns!$C$74,VRAGENLIJST!$D$170=dropdowns!$D$74,VRAGENLIJST!$D$170=dropdowns!$E$74),OFFSET(VRAGENLIJST!$D$255,Liquiditeit!AD3*2-4,0)*VRAGENLIJST!$D$166,IF(OR(VRAGENLIJST!$D$170=dropdowns!$B$75,VRAGENLIJST!$D$170=dropdowns!$C$75,VRAGENLIJST!$D$170=dropdowns!$D$75,VRAGENLIJST!$D$170=dropdowns!$E$75),OFFSET(VRAGENLIJST!$D$255,Liquiditeit!AD3*2-6,0)*VRAGENLIJST!$D$166,IF(OR(VRAGENLIJST!$D$170=dropdowns!$B$76,VRAGENLIJST!$D$170=dropdowns!$C$76,VRAGENLIJST!$D$170=dropdowns!$D$76,VRAGENLIJST!$D$170=dropdowns!$E$76),OFFSET(VRAGENLIJST!$D$255,Liquiditeit!AD3*2-8,0)*VRAGENLIJST!$D$166,0))))))</f>
        <v>0</v>
      </c>
      <c r="AE20" s="318">
        <f ca="1">IF(VRAGENLIJST!$D$170="",0,IF(OR(VRAGENLIJST!$D$170=dropdowns!$B$72,VRAGENLIJST!$D$170=dropdowns!$C$72,VRAGENLIJST!$D$170=dropdowns!$D$72,VRAGENLIJST!$D$170=dropdowns!$E$72),OFFSET(VRAGENLIJST!$D$255,(COLUMN(AE20)-COLUMN($F$20))*2,0)*VRAGENLIJST!$D$166,IF(OR(VRAGENLIJST!$D$170=dropdowns!$B$73,VRAGENLIJST!$D$170=dropdowns!$C$73,VRAGENLIJST!$D$170=dropdowns!$D$73,VRAGENLIJST!$D$170=dropdowns!$E$73),OFFSET(VRAGENLIJST!$D$255,Liquiditeit!AE3*2-4,0)*0.5*VRAGENLIJST!$D$166+(OFFSET(VRAGENLIJST!$D$255,(COLUMN(AE20)-COLUMN($F$20))*2,0))*0.5*VRAGENLIJST!$D$166,IF(OR(VRAGENLIJST!$D$170=dropdowns!$B$74,VRAGENLIJST!$D$170=dropdowns!$C$74,VRAGENLIJST!$D$170=dropdowns!$D$74,VRAGENLIJST!$D$170=dropdowns!$E$74),OFFSET(VRAGENLIJST!$D$255,Liquiditeit!AE3*2-4,0)*VRAGENLIJST!$D$166,IF(OR(VRAGENLIJST!$D$170=dropdowns!$B$75,VRAGENLIJST!$D$170=dropdowns!$C$75,VRAGENLIJST!$D$170=dropdowns!$D$75,VRAGENLIJST!$D$170=dropdowns!$E$75),OFFSET(VRAGENLIJST!$D$255,Liquiditeit!AE3*2-6,0)*VRAGENLIJST!$D$166,IF(OR(VRAGENLIJST!$D$170=dropdowns!$B$76,VRAGENLIJST!$D$170=dropdowns!$C$76,VRAGENLIJST!$D$170=dropdowns!$D$76,VRAGENLIJST!$D$170=dropdowns!$E$76),OFFSET(VRAGENLIJST!$D$255,Liquiditeit!AE3*2-8,0)*VRAGENLIJST!$D$166,0))))))</f>
        <v>0</v>
      </c>
      <c r="AF20" s="318">
        <f ca="1">IF(VRAGENLIJST!$D$170="",0,IF(OR(VRAGENLIJST!$D$170=dropdowns!$B$72,VRAGENLIJST!$D$170=dropdowns!$C$72,VRAGENLIJST!$D$170=dropdowns!$D$72,VRAGENLIJST!$D$170=dropdowns!$E$72),OFFSET(VRAGENLIJST!$D$255,(COLUMN(AF20)-COLUMN($F$20))*2,0)*VRAGENLIJST!$D$166,IF(OR(VRAGENLIJST!$D$170=dropdowns!$B$73,VRAGENLIJST!$D$170=dropdowns!$C$73,VRAGENLIJST!$D$170=dropdowns!$D$73,VRAGENLIJST!$D$170=dropdowns!$E$73),OFFSET(VRAGENLIJST!$D$255,Liquiditeit!AF3*2-4,0)*0.5*VRAGENLIJST!$D$166+(OFFSET(VRAGENLIJST!$D$255,(COLUMN(AF20)-COLUMN($F$20))*2,0))*0.5*VRAGENLIJST!$D$166,IF(OR(VRAGENLIJST!$D$170=dropdowns!$B$74,VRAGENLIJST!$D$170=dropdowns!$C$74,VRAGENLIJST!$D$170=dropdowns!$D$74,VRAGENLIJST!$D$170=dropdowns!$E$74),OFFSET(VRAGENLIJST!$D$255,Liquiditeit!AF3*2-4,0)*VRAGENLIJST!$D$166,IF(OR(VRAGENLIJST!$D$170=dropdowns!$B$75,VRAGENLIJST!$D$170=dropdowns!$C$75,VRAGENLIJST!$D$170=dropdowns!$D$75,VRAGENLIJST!$D$170=dropdowns!$E$75),OFFSET(VRAGENLIJST!$D$255,Liquiditeit!AF3*2-6,0)*VRAGENLIJST!$D$166,IF(OR(VRAGENLIJST!$D$170=dropdowns!$B$76,VRAGENLIJST!$D$170=dropdowns!$C$76,VRAGENLIJST!$D$170=dropdowns!$D$76,VRAGENLIJST!$D$170=dropdowns!$E$76),OFFSET(VRAGENLIJST!$D$255,Liquiditeit!AF3*2-8,0)*VRAGENLIJST!$D$166,0))))))</f>
        <v>0</v>
      </c>
      <c r="AG20" s="318">
        <f ca="1">IF(VRAGENLIJST!$D$170="",0,IF(OR(VRAGENLIJST!$D$170=dropdowns!$B$72,VRAGENLIJST!$D$170=dropdowns!$C$72,VRAGENLIJST!$D$170=dropdowns!$D$72,VRAGENLIJST!$D$170=dropdowns!$E$72),OFFSET(VRAGENLIJST!$D$255,(COLUMN(AG20)-COLUMN($F$20))*2,0)*VRAGENLIJST!$D$166,IF(OR(VRAGENLIJST!$D$170=dropdowns!$B$73,VRAGENLIJST!$D$170=dropdowns!$C$73,VRAGENLIJST!$D$170=dropdowns!$D$73,VRAGENLIJST!$D$170=dropdowns!$E$73),OFFSET(VRAGENLIJST!$D$255,Liquiditeit!AG3*2-4,0)*0.5*VRAGENLIJST!$D$166+(OFFSET(VRAGENLIJST!$D$255,(COLUMN(AG20)-COLUMN($F$20))*2,0))*0.5*VRAGENLIJST!$D$166,IF(OR(VRAGENLIJST!$D$170=dropdowns!$B$74,VRAGENLIJST!$D$170=dropdowns!$C$74,VRAGENLIJST!$D$170=dropdowns!$D$74,VRAGENLIJST!$D$170=dropdowns!$E$74),OFFSET(VRAGENLIJST!$D$255,Liquiditeit!AG3*2-4,0)*VRAGENLIJST!$D$166,IF(OR(VRAGENLIJST!$D$170=dropdowns!$B$75,VRAGENLIJST!$D$170=dropdowns!$C$75,VRAGENLIJST!$D$170=dropdowns!$D$75,VRAGENLIJST!$D$170=dropdowns!$E$75),OFFSET(VRAGENLIJST!$D$255,Liquiditeit!AG3*2-6,0)*VRAGENLIJST!$D$166,IF(OR(VRAGENLIJST!$D$170=dropdowns!$B$76,VRAGENLIJST!$D$170=dropdowns!$C$76,VRAGENLIJST!$D$170=dropdowns!$D$76,VRAGENLIJST!$D$170=dropdowns!$E$76),OFFSET(VRAGENLIJST!$D$255,Liquiditeit!AG3*2-8,0)*VRAGENLIJST!$D$166,0))))))</f>
        <v>0</v>
      </c>
      <c r="AH20" s="318">
        <f ca="1">IF(VRAGENLIJST!$D$170="",0,IF(OR(VRAGENLIJST!$D$170=dropdowns!$B$72,VRAGENLIJST!$D$170=dropdowns!$C$72,VRAGENLIJST!$D$170=dropdowns!$D$72,VRAGENLIJST!$D$170=dropdowns!$E$72),OFFSET(VRAGENLIJST!$D$255,(COLUMN(AH20)-COLUMN($F$20))*2,0)*VRAGENLIJST!$D$166,IF(OR(VRAGENLIJST!$D$170=dropdowns!$B$73,VRAGENLIJST!$D$170=dropdowns!$C$73,VRAGENLIJST!$D$170=dropdowns!$D$73,VRAGENLIJST!$D$170=dropdowns!$E$73),OFFSET(VRAGENLIJST!$D$255,Liquiditeit!AH3*2-4,0)*0.5*VRAGENLIJST!$D$166+(OFFSET(VRAGENLIJST!$D$255,(COLUMN(AH20)-COLUMN($F$20))*2,0))*0.5*VRAGENLIJST!$D$166,IF(OR(VRAGENLIJST!$D$170=dropdowns!$B$74,VRAGENLIJST!$D$170=dropdowns!$C$74,VRAGENLIJST!$D$170=dropdowns!$D$74,VRAGENLIJST!$D$170=dropdowns!$E$74),OFFSET(VRAGENLIJST!$D$255,Liquiditeit!AH3*2-4,0)*VRAGENLIJST!$D$166,IF(OR(VRAGENLIJST!$D$170=dropdowns!$B$75,VRAGENLIJST!$D$170=dropdowns!$C$75,VRAGENLIJST!$D$170=dropdowns!$D$75,VRAGENLIJST!$D$170=dropdowns!$E$75),OFFSET(VRAGENLIJST!$D$255,Liquiditeit!AH3*2-6,0)*VRAGENLIJST!$D$166,IF(OR(VRAGENLIJST!$D$170=dropdowns!$B$76,VRAGENLIJST!$D$170=dropdowns!$C$76,VRAGENLIJST!$D$170=dropdowns!$D$76,VRAGENLIJST!$D$170=dropdowns!$E$76),OFFSET(VRAGENLIJST!$D$255,Liquiditeit!AH3*2-8,0)*VRAGENLIJST!$D$166,0))))))</f>
        <v>0</v>
      </c>
      <c r="AI20" s="318">
        <f ca="1">IF(VRAGENLIJST!$D$170="",0,IF(OR(VRAGENLIJST!$D$170=dropdowns!$B$72,VRAGENLIJST!$D$170=dropdowns!$C$72,VRAGENLIJST!$D$170=dropdowns!$D$72,VRAGENLIJST!$D$170=dropdowns!$E$72),OFFSET(VRAGENLIJST!$D$255,(COLUMN(AI20)-COLUMN($F$20))*2,0)*VRAGENLIJST!$D$166,IF(OR(VRAGENLIJST!$D$170=dropdowns!$B$73,VRAGENLIJST!$D$170=dropdowns!$C$73,VRAGENLIJST!$D$170=dropdowns!$D$73,VRAGENLIJST!$D$170=dropdowns!$E$73),OFFSET(VRAGENLIJST!$D$255,Liquiditeit!AI3*2-4,0)*0.5*VRAGENLIJST!$D$166+(OFFSET(VRAGENLIJST!$D$255,(COLUMN(AI20)-COLUMN($F$20))*2,0))*0.5*VRAGENLIJST!$D$166,IF(OR(VRAGENLIJST!$D$170=dropdowns!$B$74,VRAGENLIJST!$D$170=dropdowns!$C$74,VRAGENLIJST!$D$170=dropdowns!$D$74,VRAGENLIJST!$D$170=dropdowns!$E$74),OFFSET(VRAGENLIJST!$D$255,Liquiditeit!AI3*2-4,0)*VRAGENLIJST!$D$166,IF(OR(VRAGENLIJST!$D$170=dropdowns!$B$75,VRAGENLIJST!$D$170=dropdowns!$C$75,VRAGENLIJST!$D$170=dropdowns!$D$75,VRAGENLIJST!$D$170=dropdowns!$E$75),OFFSET(VRAGENLIJST!$D$255,Liquiditeit!AI3*2-6,0)*VRAGENLIJST!$D$166,IF(OR(VRAGENLIJST!$D$170=dropdowns!$B$76,VRAGENLIJST!$D$170=dropdowns!$C$76,VRAGENLIJST!$D$170=dropdowns!$D$76,VRAGENLIJST!$D$170=dropdowns!$E$76),OFFSET(VRAGENLIJST!$D$255,Liquiditeit!AI3*2-8,0)*VRAGENLIJST!$D$166,0))))))</f>
        <v>0</v>
      </c>
      <c r="AJ20" s="318">
        <f ca="1">IF(VRAGENLIJST!$D$170="",0,IF(OR(VRAGENLIJST!$D$170=dropdowns!$B$72,VRAGENLIJST!$D$170=dropdowns!$C$72,VRAGENLIJST!$D$170=dropdowns!$D$72,VRAGENLIJST!$D$170=dropdowns!$E$72),OFFSET(VRAGENLIJST!$D$255,(COLUMN(AJ20)-COLUMN($F$20))*2,0)*VRAGENLIJST!$D$166,IF(OR(VRAGENLIJST!$D$170=dropdowns!$B$73,VRAGENLIJST!$D$170=dropdowns!$C$73,VRAGENLIJST!$D$170=dropdowns!$D$73,VRAGENLIJST!$D$170=dropdowns!$E$73),OFFSET(VRAGENLIJST!$D$255,Liquiditeit!AJ3*2-4,0)*0.5*VRAGENLIJST!$D$166+(OFFSET(VRAGENLIJST!$D$255,(COLUMN(AJ20)-COLUMN($F$20))*2,0))*0.5*VRAGENLIJST!$D$166,IF(OR(VRAGENLIJST!$D$170=dropdowns!$B$74,VRAGENLIJST!$D$170=dropdowns!$C$74,VRAGENLIJST!$D$170=dropdowns!$D$74,VRAGENLIJST!$D$170=dropdowns!$E$74),OFFSET(VRAGENLIJST!$D$255,Liquiditeit!AJ3*2-4,0)*VRAGENLIJST!$D$166,IF(OR(VRAGENLIJST!$D$170=dropdowns!$B$75,VRAGENLIJST!$D$170=dropdowns!$C$75,VRAGENLIJST!$D$170=dropdowns!$D$75,VRAGENLIJST!$D$170=dropdowns!$E$75),OFFSET(VRAGENLIJST!$D$255,Liquiditeit!AJ3*2-6,0)*VRAGENLIJST!$D$166,IF(OR(VRAGENLIJST!$D$170=dropdowns!$B$76,VRAGENLIJST!$D$170=dropdowns!$C$76,VRAGENLIJST!$D$170=dropdowns!$D$76,VRAGENLIJST!$D$170=dropdowns!$E$76),OFFSET(VRAGENLIJST!$D$255,Liquiditeit!AJ3*2-8,0)*VRAGENLIJST!$D$166,0))))))</f>
        <v>0</v>
      </c>
      <c r="AK20" s="318">
        <f ca="1">IF(VRAGENLIJST!$D$170="",0,IF(OR(VRAGENLIJST!$D$170=dropdowns!$B$72,VRAGENLIJST!$D$170=dropdowns!$C$72,VRAGENLIJST!$D$170=dropdowns!$D$72,VRAGENLIJST!$D$170=dropdowns!$E$72),OFFSET(VRAGENLIJST!$D$255,(COLUMN(AK20)-COLUMN($F$20))*2,0)*VRAGENLIJST!$D$166,IF(OR(VRAGENLIJST!$D$170=dropdowns!$B$73,VRAGENLIJST!$D$170=dropdowns!$C$73,VRAGENLIJST!$D$170=dropdowns!$D$73,VRAGENLIJST!$D$170=dropdowns!$E$73),OFFSET(VRAGENLIJST!$D$255,Liquiditeit!AK3*2-4,0)*0.5*VRAGENLIJST!$D$166+(OFFSET(VRAGENLIJST!$D$255,(COLUMN(AK20)-COLUMN($F$20))*2,0))*0.5*VRAGENLIJST!$D$166,IF(OR(VRAGENLIJST!$D$170=dropdowns!$B$74,VRAGENLIJST!$D$170=dropdowns!$C$74,VRAGENLIJST!$D$170=dropdowns!$D$74,VRAGENLIJST!$D$170=dropdowns!$E$74),OFFSET(VRAGENLIJST!$D$255,Liquiditeit!AK3*2-4,0)*VRAGENLIJST!$D$166,IF(OR(VRAGENLIJST!$D$170=dropdowns!$B$75,VRAGENLIJST!$D$170=dropdowns!$C$75,VRAGENLIJST!$D$170=dropdowns!$D$75,VRAGENLIJST!$D$170=dropdowns!$E$75),OFFSET(VRAGENLIJST!$D$255,Liquiditeit!AK3*2-6,0)*VRAGENLIJST!$D$166,IF(OR(VRAGENLIJST!$D$170=dropdowns!$B$76,VRAGENLIJST!$D$170=dropdowns!$C$76,VRAGENLIJST!$D$170=dropdowns!$D$76,VRAGENLIJST!$D$170=dropdowns!$E$76),OFFSET(VRAGENLIJST!$D$255,Liquiditeit!AK3*2-8,0)*VRAGENLIJST!$D$166,0))))))</f>
        <v>0</v>
      </c>
      <c r="AL20" s="318">
        <f ca="1">IF(VRAGENLIJST!$D$170="",0,IF(OR(VRAGENLIJST!$D$170=dropdowns!$B$72,VRAGENLIJST!$D$170=dropdowns!$C$72,VRAGENLIJST!$D$170=dropdowns!$D$72,VRAGENLIJST!$D$170=dropdowns!$E$72),OFFSET(VRAGENLIJST!$D$255,(COLUMN(AL20)-COLUMN($F$20))*2,0)*VRAGENLIJST!$D$166,IF(OR(VRAGENLIJST!$D$170=dropdowns!$B$73,VRAGENLIJST!$D$170=dropdowns!$C$73,VRAGENLIJST!$D$170=dropdowns!$D$73,VRAGENLIJST!$D$170=dropdowns!$E$73),OFFSET(VRAGENLIJST!$D$255,Liquiditeit!AL3*2-4,0)*0.5*VRAGENLIJST!$D$166+(OFFSET(VRAGENLIJST!$D$255,(COLUMN(AL20)-COLUMN($F$20))*2,0))*0.5*VRAGENLIJST!$D$166,IF(OR(VRAGENLIJST!$D$170=dropdowns!$B$74,VRAGENLIJST!$D$170=dropdowns!$C$74,VRAGENLIJST!$D$170=dropdowns!$D$74,VRAGENLIJST!$D$170=dropdowns!$E$74),OFFSET(VRAGENLIJST!$D$255,Liquiditeit!AL3*2-4,0)*VRAGENLIJST!$D$166,IF(OR(VRAGENLIJST!$D$170=dropdowns!$B$75,VRAGENLIJST!$D$170=dropdowns!$C$75,VRAGENLIJST!$D$170=dropdowns!$D$75,VRAGENLIJST!$D$170=dropdowns!$E$75),OFFSET(VRAGENLIJST!$D$255,Liquiditeit!AL3*2-6,0)*VRAGENLIJST!$D$166,IF(OR(VRAGENLIJST!$D$170=dropdowns!$B$76,VRAGENLIJST!$D$170=dropdowns!$C$76,VRAGENLIJST!$D$170=dropdowns!$D$76,VRAGENLIJST!$D$170=dropdowns!$E$76),OFFSET(VRAGENLIJST!$D$255,Liquiditeit!AL3*2-8,0)*VRAGENLIJST!$D$166,0))))))</f>
        <v>0</v>
      </c>
      <c r="AM20" s="318">
        <f ca="1">IF(VRAGENLIJST!$D$170="",0,IF(OR(VRAGENLIJST!$D$170=dropdowns!$B$72,VRAGENLIJST!$D$170=dropdowns!$C$72,VRAGENLIJST!$D$170=dropdowns!$D$72,VRAGENLIJST!$D$170=dropdowns!$E$72),OFFSET(VRAGENLIJST!$D$255,(COLUMN(AM20)-COLUMN($F$20))*2,0)*VRAGENLIJST!$D$166,IF(OR(VRAGENLIJST!$D$170=dropdowns!$B$73,VRAGENLIJST!$D$170=dropdowns!$C$73,VRAGENLIJST!$D$170=dropdowns!$D$73,VRAGENLIJST!$D$170=dropdowns!$E$73),OFFSET(VRAGENLIJST!$D$255,Liquiditeit!AM3*2-4,0)*0.5*VRAGENLIJST!$D$166+(OFFSET(VRAGENLIJST!$D$255,(COLUMN(AM20)-COLUMN($F$20))*2,0))*0.5*VRAGENLIJST!$D$166,IF(OR(VRAGENLIJST!$D$170=dropdowns!$B$74,VRAGENLIJST!$D$170=dropdowns!$C$74,VRAGENLIJST!$D$170=dropdowns!$D$74,VRAGENLIJST!$D$170=dropdowns!$E$74),OFFSET(VRAGENLIJST!$D$255,Liquiditeit!AM3*2-4,0)*VRAGENLIJST!$D$166,IF(OR(VRAGENLIJST!$D$170=dropdowns!$B$75,VRAGENLIJST!$D$170=dropdowns!$C$75,VRAGENLIJST!$D$170=dropdowns!$D$75,VRAGENLIJST!$D$170=dropdowns!$E$75),OFFSET(VRAGENLIJST!$D$255,Liquiditeit!AM3*2-6,0)*VRAGENLIJST!$D$166,IF(OR(VRAGENLIJST!$D$170=dropdowns!$B$76,VRAGENLIJST!$D$170=dropdowns!$C$76,VRAGENLIJST!$D$170=dropdowns!$D$76,VRAGENLIJST!$D$170=dropdowns!$E$76),OFFSET(VRAGENLIJST!$D$255,Liquiditeit!AM3*2-8,0)*VRAGENLIJST!$D$166,0))))))</f>
        <v>0</v>
      </c>
      <c r="AN20" s="318">
        <f ca="1">IF(VRAGENLIJST!$D$170="",0,IF(OR(VRAGENLIJST!$D$170=dropdowns!$B$72,VRAGENLIJST!$D$170=dropdowns!$C$72,VRAGENLIJST!$D$170=dropdowns!$D$72,VRAGENLIJST!$D$170=dropdowns!$E$72),OFFSET(VRAGENLIJST!$D$255,(COLUMN(AN20)-COLUMN($F$20))*2,0)*VRAGENLIJST!$D$166,IF(OR(VRAGENLIJST!$D$170=dropdowns!$B$73,VRAGENLIJST!$D$170=dropdowns!$C$73,VRAGENLIJST!$D$170=dropdowns!$D$73,VRAGENLIJST!$D$170=dropdowns!$E$73),OFFSET(VRAGENLIJST!$D$255,Liquiditeit!AN3*2-4,0)*0.5*VRAGENLIJST!$D$166+(OFFSET(VRAGENLIJST!$D$255,(COLUMN(AN20)-COLUMN($F$20))*2,0))*0.5*VRAGENLIJST!$D$166,IF(OR(VRAGENLIJST!$D$170=dropdowns!$B$74,VRAGENLIJST!$D$170=dropdowns!$C$74,VRAGENLIJST!$D$170=dropdowns!$D$74,VRAGENLIJST!$D$170=dropdowns!$E$74),OFFSET(VRAGENLIJST!$D$255,Liquiditeit!AN3*2-4,0)*VRAGENLIJST!$D$166,IF(OR(VRAGENLIJST!$D$170=dropdowns!$B$75,VRAGENLIJST!$D$170=dropdowns!$C$75,VRAGENLIJST!$D$170=dropdowns!$D$75,VRAGENLIJST!$D$170=dropdowns!$E$75),OFFSET(VRAGENLIJST!$D$255,Liquiditeit!AN3*2-6,0)*VRAGENLIJST!$D$166,IF(OR(VRAGENLIJST!$D$170=dropdowns!$B$76,VRAGENLIJST!$D$170=dropdowns!$C$76,VRAGENLIJST!$D$170=dropdowns!$D$76,VRAGENLIJST!$D$170=dropdowns!$E$76),OFFSET(VRAGENLIJST!$D$255,Liquiditeit!AN3*2-8,0)*VRAGENLIJST!$D$166,0))))))</f>
        <v>0</v>
      </c>
      <c r="AO20" s="318">
        <f ca="1">IF(VRAGENLIJST!$D$170="",0,IF(OR(VRAGENLIJST!$D$170=dropdowns!$B$72,VRAGENLIJST!$D$170=dropdowns!$C$72,VRAGENLIJST!$D$170=dropdowns!$D$72,VRAGENLIJST!$D$170=dropdowns!$E$72),OFFSET(VRAGENLIJST!$D$255,(COLUMN(AO20)-COLUMN($F$20))*2,0)*VRAGENLIJST!$D$166,IF(OR(VRAGENLIJST!$D$170=dropdowns!$B$73,VRAGENLIJST!$D$170=dropdowns!$C$73,VRAGENLIJST!$D$170=dropdowns!$D$73,VRAGENLIJST!$D$170=dropdowns!$E$73),OFFSET(VRAGENLIJST!$D$255,Liquiditeit!AO3*2-4,0)*0.5*VRAGENLIJST!$D$166+(OFFSET(VRAGENLIJST!$D$255,(COLUMN(AO20)-COLUMN($F$20))*2,0))*0.5*VRAGENLIJST!$D$166,IF(OR(VRAGENLIJST!$D$170=dropdowns!$B$74,VRAGENLIJST!$D$170=dropdowns!$C$74,VRAGENLIJST!$D$170=dropdowns!$D$74,VRAGENLIJST!$D$170=dropdowns!$E$74),OFFSET(VRAGENLIJST!$D$255,Liquiditeit!AO3*2-4,0)*VRAGENLIJST!$D$166,IF(OR(VRAGENLIJST!$D$170=dropdowns!$B$75,VRAGENLIJST!$D$170=dropdowns!$C$75,VRAGENLIJST!$D$170=dropdowns!$D$75,VRAGENLIJST!$D$170=dropdowns!$E$75),OFFSET(VRAGENLIJST!$D$255,Liquiditeit!AO3*2-6,0)*VRAGENLIJST!$D$166,IF(OR(VRAGENLIJST!$D$170=dropdowns!$B$76,VRAGENLIJST!$D$170=dropdowns!$C$76,VRAGENLIJST!$D$170=dropdowns!$D$76,VRAGENLIJST!$D$170=dropdowns!$E$76),OFFSET(VRAGENLIJST!$D$255,Liquiditeit!AO3*2-8,0)*VRAGENLIJST!$D$166,0))))))</f>
        <v>0</v>
      </c>
      <c r="AP20" s="320">
        <f ca="1">SUM(AC20:AO20)</f>
        <v>0</v>
      </c>
    </row>
    <row r="21" spans="2:42" ht="14.25" customHeight="1" x14ac:dyDescent="0.25">
      <c r="B21" s="317" t="str">
        <f>Vertaling!A281</f>
        <v xml:space="preserve"> Inkoop product 2</v>
      </c>
      <c r="C21" s="318">
        <f>IF(OR(VRAGENLIJST!D101=dropdowns!$B$28,VRAGENLIJST!D101=dropdowns!$C$28,VRAGENLIJST!D101=dropdowns!$D$28,VRAGENLIJST!D101=dropdowns!$E$28),0,VRAGENLIJST!H101)</f>
        <v>0</v>
      </c>
      <c r="D21" s="318">
        <f>IF(VRAGENLIJST!$F$170="",0,IF(OR(VRAGENLIJST!$F$170=dropdowns!$B$72,VRAGENLIJST!$F$170=dropdowns!$C$72,VRAGENLIJST!$F$170=dropdowns!$D$72,VRAGENLIJST!$F$170=dropdowns!$E$72),VRAGENLIJST!$F$255*VRAGENLIJST!$H$166,IF(OR(VRAGENLIJST!$F$170=dropdowns!$B$73,VRAGENLIJST!$F$170=dropdowns!$C$73,VRAGENLIJST!$F$170=dropdowns!$D$73,VRAGENLIJST!$F$170=dropdowns!$E$73),VRAGENLIJST!$F$255*0.5*VRAGENLIJST!$F$166,0)))</f>
        <v>0</v>
      </c>
      <c r="E21" s="318">
        <f ca="1">IF(VRAGENLIJST!$F$170="",0,IF(OR(VRAGENLIJST!$F$170=dropdowns!$B$72,VRAGENLIJST!$F$170=dropdowns!$C$72,VRAGENLIJST!$F$170=dropdowns!$D$72,VRAGENLIJST!$F$170=dropdowns!$E$72),OFFSET(VRAGENLIJST!$F$255,(COLUMN(E21)-COLUMN($D$21))*2,0)*VRAGENLIJST!$F$166,IF(OR(VRAGENLIJST!$F$170=dropdowns!$B$73,VRAGENLIJST!$F$170=dropdowns!$C$73,VRAGENLIJST!$F$170=dropdowns!$D$73,VRAGENLIJST!$F$170=dropdowns!$E$73),VRAGENLIJST!$F$255*0.5*VRAGENLIJST!$F$166+(OFFSET(VRAGENLIJST!$F$255,(COLUMN(E21)-COLUMN($D$21))*2,0))*0.5*VRAGENLIJST!$F$166,IF(OR(VRAGENLIJST!$F$170=dropdowns!$B$74,VRAGENLIJST!$F$170=dropdowns!$C$74,VRAGENLIJST!$F$170=dropdowns!$D$74,VRAGENLIJST!$F$170=dropdowns!$E$74),VRAGENLIJST!$F$255*VRAGENLIJST!$F$166,0))))</f>
        <v>0</v>
      </c>
      <c r="F21" s="318">
        <f ca="1">IF(VRAGENLIJST!$F$170="",0,IF(OR(VRAGENLIJST!$F$170=dropdowns!$B$72,VRAGENLIJST!$F$170=dropdowns!$C$72,VRAGENLIJST!$F$170=dropdowns!$D$72,VRAGENLIJST!$F$170=dropdowns!$E$72),OFFSET(VRAGENLIJST!$F$255,(COLUMN(F21)-COLUMN($D$21))*2,0)*VRAGENLIJST!$F$166,IF(OR(VRAGENLIJST!$F$170=dropdowns!$B$73,VRAGENLIJST!$F$170=dropdowns!$C$73,VRAGENLIJST!$F$170=dropdowns!$D$73,VRAGENLIJST!$F$170=dropdowns!$E$73),OFFSET(VRAGENLIJST!$F$255,Liquiditeit!F3*2-4,0)*0.5*VRAGENLIJST!$F$166+(OFFSET(VRAGENLIJST!$F$255,(COLUMN(F21)-COLUMN($D$21))*2,0))*0.5*VRAGENLIJST!$F$166,IF(OR(VRAGENLIJST!$F$170=dropdowns!$B$74,VRAGENLIJST!$F$170=dropdowns!$C$74,VRAGENLIJST!$F$170=dropdowns!$D$74,VRAGENLIJST!$F$170=dropdowns!$E$74),OFFSET(VRAGENLIJST!$F$255,Liquiditeit!F3*2-4,0)*VRAGENLIJST!$F$166,IF(OR(VRAGENLIJST!$F$170=dropdowns!$B$75,VRAGENLIJST!$F$170=dropdowns!$C$75,VRAGENLIJST!$F$170=dropdowns!$D$75,VRAGENLIJST!$F$170=dropdowns!$E$75),VRAGENLIJST!$F$255*VRAGENLIJST!$F$166,0)))))</f>
        <v>0</v>
      </c>
      <c r="G21" s="318">
        <f ca="1">IF(VRAGENLIJST!$F$170="",0,IF(OR(VRAGENLIJST!$F$170=dropdowns!$B$72,VRAGENLIJST!$F$170=dropdowns!$C$72,VRAGENLIJST!$F$170=dropdowns!$D$72,VRAGENLIJST!$F$170=dropdowns!$E$72),OFFSET(VRAGENLIJST!$F$255,(COLUMN(G21)-COLUMN($D$21))*2,0)*VRAGENLIJST!$F$166,IF(OR(VRAGENLIJST!$F$170=dropdowns!$B$73,VRAGENLIJST!$F$170=dropdowns!$C$73,VRAGENLIJST!$F$170=dropdowns!$D$73,VRAGENLIJST!$F$170=dropdowns!$E$73),OFFSET(VRAGENLIJST!$F$255,Liquiditeit!G3*2-4,0)*0.5*VRAGENLIJST!$F$166+(OFFSET(VRAGENLIJST!$F$255,(COLUMN(G21)-COLUMN($D$21))*2,0))*0.5*VRAGENLIJST!$F$166,IF(OR(VRAGENLIJST!$F$170=dropdowns!$B$74,VRAGENLIJST!$F$170=dropdowns!$C$74,VRAGENLIJST!$F$170=dropdowns!$D$74,VRAGENLIJST!$F$170=dropdowns!$E$74),OFFSET(VRAGENLIJST!$F$255,Liquiditeit!G3*2-4,0)*VRAGENLIJST!$F$166,IF(OR(VRAGENLIJST!$F$170=dropdowns!$B$75,VRAGENLIJST!$F$170=dropdowns!$C$75,VRAGENLIJST!$F$170=dropdowns!$D$75,VRAGENLIJST!$F$170=dropdowns!$E$75),OFFSET(VRAGENLIJST!$F$255,Liquiditeit!G3*2-6,0)*VRAGENLIJST!$F$166,IF(OR(VRAGENLIJST!$F$170=dropdowns!$B$76,VRAGENLIJST!$F$170=dropdowns!$C$76,VRAGENLIJST!$F$170=dropdowns!$D$76,VRAGENLIJST!$F$170=dropdowns!$E$76),VRAGENLIJST!$F$255*VRAGENLIJST!$F$166,0))))))</f>
        <v>0</v>
      </c>
      <c r="H21" s="318">
        <f ca="1">IF(VRAGENLIJST!$F$170="",0,IF(OR(VRAGENLIJST!$F$170=dropdowns!$B$72,VRAGENLIJST!$F$170=dropdowns!$C$72,VRAGENLIJST!$F$170=dropdowns!$D$72,VRAGENLIJST!$F$170=dropdowns!$E$72),OFFSET(VRAGENLIJST!$F$255,(COLUMN(H21)-COLUMN($D$21))*2,0)*VRAGENLIJST!$F$166,IF(OR(VRAGENLIJST!$F$170=dropdowns!$B$73,VRAGENLIJST!$F$170=dropdowns!$C$73,VRAGENLIJST!$F$170=dropdowns!$D$73,VRAGENLIJST!$F$170=dropdowns!$E$73),OFFSET(VRAGENLIJST!$F$255,Liquiditeit!H3*2-4,0)*0.5*VRAGENLIJST!$F$166+(OFFSET(VRAGENLIJST!$F$255,(COLUMN(H21)-COLUMN($D$21))*2,0))*0.5*VRAGENLIJST!$F$166,IF(OR(VRAGENLIJST!$F$170=dropdowns!$B$74,VRAGENLIJST!$F$170=dropdowns!$C$74,VRAGENLIJST!$F$170=dropdowns!$D$74,VRAGENLIJST!$F$170=dropdowns!$E$74),OFFSET(VRAGENLIJST!$F$255,Liquiditeit!H3*2-4,0)*VRAGENLIJST!$F$166,IF(OR(VRAGENLIJST!$F$170=dropdowns!$B$75,VRAGENLIJST!$F$170=dropdowns!$C$75,VRAGENLIJST!$F$170=dropdowns!$D$75,VRAGENLIJST!$F$170=dropdowns!$E$75),OFFSET(VRAGENLIJST!$F$255,Liquiditeit!H3*2-6,0)*VRAGENLIJST!$F$166,IF(OR(VRAGENLIJST!$F$170=dropdowns!$B$76,VRAGENLIJST!$F$170=dropdowns!$C$76,VRAGENLIJST!$F$170=dropdowns!$D$76,VRAGENLIJST!$F$170=dropdowns!$E$76),OFFSET(VRAGENLIJST!$F$255,Liquiditeit!H3*2-8,0)*VRAGENLIJST!$F$166,0))))))</f>
        <v>0</v>
      </c>
      <c r="I21" s="318">
        <f ca="1">IF(VRAGENLIJST!$F$170="",0,IF(OR(VRAGENLIJST!$F$170=dropdowns!$B$72,VRAGENLIJST!$F$170=dropdowns!$C$72,VRAGENLIJST!$F$170=dropdowns!$D$72,VRAGENLIJST!$F$170=dropdowns!$E$72),OFFSET(VRAGENLIJST!$F$255,(COLUMN(I21)-COLUMN($D$21))*2,0)*VRAGENLIJST!$F$166,IF(OR(VRAGENLIJST!$F$170=dropdowns!$B$73,VRAGENLIJST!$F$170=dropdowns!$C$73,VRAGENLIJST!$F$170=dropdowns!$D$73,VRAGENLIJST!$F$170=dropdowns!$E$73),OFFSET(VRAGENLIJST!$F$255,Liquiditeit!I3*2-4,0)*0.5*VRAGENLIJST!$F$166+(OFFSET(VRAGENLIJST!$F$255,(COLUMN(I21)-COLUMN($D$21))*2,0))*0.5*VRAGENLIJST!$F$166,IF(OR(VRAGENLIJST!$F$170=dropdowns!$B$74,VRAGENLIJST!$F$170=dropdowns!$C$74,VRAGENLIJST!$F$170=dropdowns!$D$74,VRAGENLIJST!$F$170=dropdowns!$E$74),OFFSET(VRAGENLIJST!$F$255,Liquiditeit!I3*2-4,0)*VRAGENLIJST!$F$166,IF(OR(VRAGENLIJST!$F$170=dropdowns!$B$75,VRAGENLIJST!$F$170=dropdowns!$C$75,VRAGENLIJST!$F$170=dropdowns!$D$75,VRAGENLIJST!$F$170=dropdowns!$E$75),OFFSET(VRAGENLIJST!$F$255,Liquiditeit!I3*2-6,0)*VRAGENLIJST!$F$166,IF(OR(VRAGENLIJST!$F$170=dropdowns!$B$76,VRAGENLIJST!$F$170=dropdowns!$C$76,VRAGENLIJST!$F$170=dropdowns!$D$76,VRAGENLIJST!$F$170=dropdowns!$E$76),OFFSET(VRAGENLIJST!$F$255,Liquiditeit!I3*2-8,0)*VRAGENLIJST!$F$166,0))))))</f>
        <v>0</v>
      </c>
      <c r="J21" s="318">
        <f ca="1">IF(VRAGENLIJST!$F$170="",0,IF(OR(VRAGENLIJST!$F$170=dropdowns!$B$72,VRAGENLIJST!$F$170=dropdowns!$C$72,VRAGENLIJST!$F$170=dropdowns!$D$72,VRAGENLIJST!$F$170=dropdowns!$E$72),OFFSET(VRAGENLIJST!$F$255,(COLUMN(J21)-COLUMN($D$21))*2,0)*VRAGENLIJST!$F$166,IF(OR(VRAGENLIJST!$F$170=dropdowns!$B$73,VRAGENLIJST!$F$170=dropdowns!$C$73,VRAGENLIJST!$F$170=dropdowns!$D$73,VRAGENLIJST!$F$170=dropdowns!$E$73),OFFSET(VRAGENLIJST!$F$255,Liquiditeit!J3*2-4,0)*0.5*VRAGENLIJST!$F$166+(OFFSET(VRAGENLIJST!$F$255,(COLUMN(J21)-COLUMN($D$21))*2,0))*0.5*VRAGENLIJST!$F$166,IF(OR(VRAGENLIJST!$F$170=dropdowns!$B$74,VRAGENLIJST!$F$170=dropdowns!$C$74,VRAGENLIJST!$F$170=dropdowns!$D$74,VRAGENLIJST!$F$170=dropdowns!$E$74),OFFSET(VRAGENLIJST!$F$255,Liquiditeit!J3*2-4,0)*VRAGENLIJST!$F$166,IF(OR(VRAGENLIJST!$F$170=dropdowns!$B$75,VRAGENLIJST!$F$170=dropdowns!$C$75,VRAGENLIJST!$F$170=dropdowns!$D$75,VRAGENLIJST!$F$170=dropdowns!$E$75),OFFSET(VRAGENLIJST!$F$255,Liquiditeit!J3*2-6,0)*VRAGENLIJST!$F$166,IF(OR(VRAGENLIJST!$F$170=dropdowns!$B$76,VRAGENLIJST!$F$170=dropdowns!$C$76,VRAGENLIJST!$F$170=dropdowns!$D$76,VRAGENLIJST!$F$170=dropdowns!$E$76),OFFSET(VRAGENLIJST!$F$255,Liquiditeit!J3*2-8,0)*VRAGENLIJST!$F$166,0))))))</f>
        <v>0</v>
      </c>
      <c r="K21" s="318">
        <f ca="1">IF(VRAGENLIJST!$F$170="",0,IF(OR(VRAGENLIJST!$F$170=dropdowns!$B$72,VRAGENLIJST!$F$170=dropdowns!$C$72,VRAGENLIJST!$F$170=dropdowns!$D$72,VRAGENLIJST!$F$170=dropdowns!$E$72),OFFSET(VRAGENLIJST!$F$255,(COLUMN(K21)-COLUMN($D$21))*2,0)*VRAGENLIJST!$F$166,IF(OR(VRAGENLIJST!$F$170=dropdowns!$B$73,VRAGENLIJST!$F$170=dropdowns!$C$73,VRAGENLIJST!$F$170=dropdowns!$D$73,VRAGENLIJST!$F$170=dropdowns!$E$73),OFFSET(VRAGENLIJST!$F$255,Liquiditeit!K3*2-4,0)*0.5*VRAGENLIJST!$F$166+(OFFSET(VRAGENLIJST!$F$255,(COLUMN(K21)-COLUMN($D$21))*2,0))*0.5*VRAGENLIJST!$F$166,IF(OR(VRAGENLIJST!$F$170=dropdowns!$B$74,VRAGENLIJST!$F$170=dropdowns!$C$74,VRAGENLIJST!$F$170=dropdowns!$D$74,VRAGENLIJST!$F$170=dropdowns!$E$74),OFFSET(VRAGENLIJST!$F$255,Liquiditeit!K3*2-4,0)*VRAGENLIJST!$F$166,IF(OR(VRAGENLIJST!$F$170=dropdowns!$B$75,VRAGENLIJST!$F$170=dropdowns!$C$75,VRAGENLIJST!$F$170=dropdowns!$D$75,VRAGENLIJST!$F$170=dropdowns!$E$75),OFFSET(VRAGENLIJST!$F$255,Liquiditeit!K3*2-6,0)*VRAGENLIJST!$F$166,IF(OR(VRAGENLIJST!$F$170=dropdowns!$B$76,VRAGENLIJST!$F$170=dropdowns!$C$76,VRAGENLIJST!$F$170=dropdowns!$D$76,VRAGENLIJST!$F$170=dropdowns!$E$76),OFFSET(VRAGENLIJST!$F$255,Liquiditeit!K3*2-8,0)*VRAGENLIJST!$F$166,0))))))</f>
        <v>0</v>
      </c>
      <c r="L21" s="318">
        <f ca="1">IF(VRAGENLIJST!$F$170="",0,IF(OR(VRAGENLIJST!$F$170=dropdowns!$B$72,VRAGENLIJST!$F$170=dropdowns!$C$72,VRAGENLIJST!$F$170=dropdowns!$D$72,VRAGENLIJST!$F$170=dropdowns!$E$72),OFFSET(VRAGENLIJST!$F$255,(COLUMN(L21)-COLUMN($D$21))*2,0)*VRAGENLIJST!$F$166,IF(OR(VRAGENLIJST!$F$170=dropdowns!$B$73,VRAGENLIJST!$F$170=dropdowns!$C$73,VRAGENLIJST!$F$170=dropdowns!$D$73,VRAGENLIJST!$F$170=dropdowns!$E$73),OFFSET(VRAGENLIJST!$F$255,Liquiditeit!L3*2-4,0)*0.5*VRAGENLIJST!$F$166+(OFFSET(VRAGENLIJST!$F$255,(COLUMN(L21)-COLUMN($D$21))*2,0))*0.5*VRAGENLIJST!$F$166,IF(OR(VRAGENLIJST!$F$170=dropdowns!$B$74,VRAGENLIJST!$F$170=dropdowns!$C$74,VRAGENLIJST!$F$170=dropdowns!$D$74,VRAGENLIJST!$F$170=dropdowns!$E$74),OFFSET(VRAGENLIJST!$F$255,Liquiditeit!L3*2-4,0)*VRAGENLIJST!$F$166,IF(OR(VRAGENLIJST!$F$170=dropdowns!$B$75,VRAGENLIJST!$F$170=dropdowns!$C$75,VRAGENLIJST!$F$170=dropdowns!$D$75,VRAGENLIJST!$F$170=dropdowns!$E$75),OFFSET(VRAGENLIJST!$F$255,Liquiditeit!L3*2-6,0)*VRAGENLIJST!$F$166,IF(OR(VRAGENLIJST!$F$170=dropdowns!$B$76,VRAGENLIJST!$F$170=dropdowns!$C$76,VRAGENLIJST!$F$170=dropdowns!$D$76,VRAGENLIJST!$F$170=dropdowns!$E$76),OFFSET(VRAGENLIJST!$F$255,Liquiditeit!L3*2-8,0)*VRAGENLIJST!$F$166,0))))))</f>
        <v>0</v>
      </c>
      <c r="M21" s="318">
        <f ca="1">IF(VRAGENLIJST!$F$170="",0,IF(OR(VRAGENLIJST!$F$170=dropdowns!$B$72,VRAGENLIJST!$F$170=dropdowns!$C$72,VRAGENLIJST!$F$170=dropdowns!$D$72,VRAGENLIJST!$F$170=dropdowns!$E$72),OFFSET(VRAGENLIJST!$F$255,(COLUMN(M21)-COLUMN($D$21))*2,0)*VRAGENLIJST!$F$166,IF(OR(VRAGENLIJST!$F$170=dropdowns!$B$73,VRAGENLIJST!$F$170=dropdowns!$C$73,VRAGENLIJST!$F$170=dropdowns!$D$73,VRAGENLIJST!$F$170=dropdowns!$E$73),OFFSET(VRAGENLIJST!$F$255,Liquiditeit!M3*2-4,0)*0.5*VRAGENLIJST!$F$166+(OFFSET(VRAGENLIJST!$F$255,(COLUMN(M21)-COLUMN($D$21))*2,0))*0.5*VRAGENLIJST!$F$166,IF(OR(VRAGENLIJST!$F$170=dropdowns!$B$74,VRAGENLIJST!$F$170=dropdowns!$C$74,VRAGENLIJST!$F$170=dropdowns!$D$74,VRAGENLIJST!$F$170=dropdowns!$E$74),OFFSET(VRAGENLIJST!$F$255,Liquiditeit!M3*2-4,0)*VRAGENLIJST!$F$166,IF(OR(VRAGENLIJST!$F$170=dropdowns!$B$75,VRAGENLIJST!$F$170=dropdowns!$C$75,VRAGENLIJST!$F$170=dropdowns!$D$75,VRAGENLIJST!$F$170=dropdowns!$E$75),OFFSET(VRAGENLIJST!$F$255,Liquiditeit!M3*2-6,0)*VRAGENLIJST!$F$166,IF(OR(VRAGENLIJST!$F$170=dropdowns!$B$76,VRAGENLIJST!$F$170=dropdowns!$C$76,VRAGENLIJST!$F$170=dropdowns!$D$76,VRAGENLIJST!$F$170=dropdowns!$E$76),OFFSET(VRAGENLIJST!$F$255,Liquiditeit!M3*2-8,0)*VRAGENLIJST!$F$166,0))))))</f>
        <v>0</v>
      </c>
      <c r="N21" s="318">
        <f ca="1">IF(VRAGENLIJST!$F$170="",0,IF(OR(VRAGENLIJST!$F$170=dropdowns!$B$72,VRAGENLIJST!$F$170=dropdowns!$C$72,VRAGENLIJST!$F$170=dropdowns!$D$72,VRAGENLIJST!$F$170=dropdowns!$E$72),OFFSET(VRAGENLIJST!$F$255,(COLUMN(N21)-COLUMN($D$21))*2,0)*VRAGENLIJST!$F$166,IF(OR(VRAGENLIJST!$F$170=dropdowns!$B$73,VRAGENLIJST!$F$170=dropdowns!$C$73,VRAGENLIJST!$F$170=dropdowns!$D$73,VRAGENLIJST!$F$170=dropdowns!$E$73),OFFSET(VRAGENLIJST!$F$255,Liquiditeit!N3*2-4,0)*0.5*VRAGENLIJST!$F$166+(OFFSET(VRAGENLIJST!$F$255,(COLUMN(N21)-COLUMN($D$21))*2,0))*0.5*VRAGENLIJST!$F$166,IF(OR(VRAGENLIJST!$F$170=dropdowns!$B$74,VRAGENLIJST!$F$170=dropdowns!$C$74,VRAGENLIJST!$F$170=dropdowns!$D$74,VRAGENLIJST!$F$170=dropdowns!$E$74),OFFSET(VRAGENLIJST!$F$255,Liquiditeit!N3*2-4,0)*VRAGENLIJST!$F$166,IF(OR(VRAGENLIJST!$F$170=dropdowns!$B$75,VRAGENLIJST!$F$170=dropdowns!$C$75,VRAGENLIJST!$F$170=dropdowns!$D$75,VRAGENLIJST!$F$170=dropdowns!$E$75),OFFSET(VRAGENLIJST!$F$255,Liquiditeit!N3*2-6,0)*VRAGENLIJST!$F$166,IF(OR(VRAGENLIJST!$F$170=dropdowns!$B$76,VRAGENLIJST!$F$170=dropdowns!$C$76,VRAGENLIJST!$F$170=dropdowns!$D$76,VRAGENLIJST!$F$170=dropdowns!$E$76),OFFSET(VRAGENLIJST!$F$255,Liquiditeit!N3*2-8,0)*VRAGENLIJST!$F$166,0))))))</f>
        <v>0</v>
      </c>
      <c r="O21" s="318">
        <f ca="1">IF(VRAGENLIJST!$F$170="",0,IF(OR(VRAGENLIJST!$F$170=dropdowns!$B$72,VRAGENLIJST!$F$170=dropdowns!$C$72,VRAGENLIJST!$F$170=dropdowns!$D$72,VRAGENLIJST!$F$170=dropdowns!$E$72),OFFSET(VRAGENLIJST!$F$255,(COLUMN(O21)-COLUMN($D$21))*2,0)*VRAGENLIJST!$F$166,IF(OR(VRAGENLIJST!$F$170=dropdowns!$B$73,VRAGENLIJST!$F$170=dropdowns!$C$73,VRAGENLIJST!$F$170=dropdowns!$D$73,VRAGENLIJST!$F$170=dropdowns!$E$73),OFFSET(VRAGENLIJST!$F$255,Liquiditeit!O3*2-4,0)*0.5*VRAGENLIJST!$F$166+(OFFSET(VRAGENLIJST!$F$255,(COLUMN(O21)-COLUMN($D$21))*2,0))*0.5*VRAGENLIJST!$F$166,IF(OR(VRAGENLIJST!$F$170=dropdowns!$B$74,VRAGENLIJST!$F$170=dropdowns!$C$74,VRAGENLIJST!$F$170=dropdowns!$D$74,VRAGENLIJST!$F$170=dropdowns!$E$74),OFFSET(VRAGENLIJST!$F$255,Liquiditeit!O3*2-4,0)*VRAGENLIJST!$F$166,IF(OR(VRAGENLIJST!$F$170=dropdowns!$B$75,VRAGENLIJST!$F$170=dropdowns!$C$75,VRAGENLIJST!$F$170=dropdowns!$D$75,VRAGENLIJST!$F$170=dropdowns!$E$75),OFFSET(VRAGENLIJST!$F$255,Liquiditeit!O3*2-6,0)*VRAGENLIJST!$F$166,IF(OR(VRAGENLIJST!$F$170=dropdowns!$B$76,VRAGENLIJST!$F$170=dropdowns!$C$76,VRAGENLIJST!$F$170=dropdowns!$D$76,VRAGENLIJST!$F$170=dropdowns!$E$76),OFFSET(VRAGENLIJST!$F$255,Liquiditeit!O3*2-8,0)*VRAGENLIJST!$F$166,0))))))</f>
        <v>0</v>
      </c>
      <c r="P21" s="320">
        <f ca="1">SUM(C21:O21)</f>
        <v>0</v>
      </c>
      <c r="Q21" s="318">
        <f ca="1">IF(VRAGENLIJST!$F$170="",0,IF(OR(VRAGENLIJST!$F$170=dropdowns!$B$72,VRAGENLIJST!$F$170=dropdowns!$C$72,VRAGENLIJST!$F$170=dropdowns!$D$72,VRAGENLIJST!$F$170=dropdowns!$E$72),OFFSET(VRAGENLIJST!$F$255,(COLUMN(Q21)-COLUMN($E$21))*2,0)*VRAGENLIJST!$F$166,IF(OR(VRAGENLIJST!$F$170=dropdowns!$B$73,VRAGENLIJST!$F$170=dropdowns!$C$73,VRAGENLIJST!$F$170=dropdowns!$D$73,VRAGENLIJST!$F$170=dropdowns!$E$73),OFFSET(VRAGENLIJST!$F$255,Liquiditeit!Q3*2-4,0)*0.5*VRAGENLIJST!$F$166+(OFFSET(VRAGENLIJST!$F$255,(COLUMN(Q21)-COLUMN($E$21))*2,0))*0.5*VRAGENLIJST!$F$166,IF(OR(VRAGENLIJST!$F$170=dropdowns!$B$74,VRAGENLIJST!$F$170=dropdowns!$C$74,VRAGENLIJST!$F$170=dropdowns!$D$74,VRAGENLIJST!$F$170=dropdowns!$E$74),OFFSET(VRAGENLIJST!$F$255,Liquiditeit!Q3*2-4,0)*VRAGENLIJST!$F$166,IF(OR(VRAGENLIJST!$F$170=dropdowns!$B$75,VRAGENLIJST!$F$170=dropdowns!$C$75,VRAGENLIJST!$F$170=dropdowns!$D$75,VRAGENLIJST!$F$170=dropdowns!$E$75),OFFSET(VRAGENLIJST!$F$255,Liquiditeit!Q3*2-6,0)*VRAGENLIJST!$F$166,IF(OR(VRAGENLIJST!$F$170=dropdowns!$B$76,VRAGENLIJST!$F$170=dropdowns!$C$76,VRAGENLIJST!$F$170=dropdowns!$D$76,VRAGENLIJST!$F$170=dropdowns!$E$76),OFFSET(VRAGENLIJST!$F$255,Liquiditeit!Q3*2-8,0)*VRAGENLIJST!$F$166,0))))))</f>
        <v>0</v>
      </c>
      <c r="R21" s="318">
        <f ca="1">IF(VRAGENLIJST!$F$170="",0,IF(OR(VRAGENLIJST!$F$170=dropdowns!$B$72,VRAGENLIJST!$F$170=dropdowns!$C$72,VRAGENLIJST!$F$170=dropdowns!$D$72,VRAGENLIJST!$F$170=dropdowns!$E$72),OFFSET(VRAGENLIJST!$F$255,(COLUMN(R21)-COLUMN($E$21))*2,0)*VRAGENLIJST!$F$166,IF(OR(VRAGENLIJST!$F$170=dropdowns!$B$73,VRAGENLIJST!$F$170=dropdowns!$C$73,VRAGENLIJST!$F$170=dropdowns!$D$73,VRAGENLIJST!$F$170=dropdowns!$E$73),OFFSET(VRAGENLIJST!$F$255,Liquiditeit!R3*2-4,0)*0.5*VRAGENLIJST!$F$166+(OFFSET(VRAGENLIJST!$F$255,(COLUMN(R21)-COLUMN($E$21))*2,0))*0.5*VRAGENLIJST!$F$166,IF(OR(VRAGENLIJST!$F$170=dropdowns!$B$74,VRAGENLIJST!$F$170=dropdowns!$C$74,VRAGENLIJST!$F$170=dropdowns!$D$74,VRAGENLIJST!$F$170=dropdowns!$E$74),OFFSET(VRAGENLIJST!$F$255,Liquiditeit!R3*2-4,0)*VRAGENLIJST!$F$166,IF(OR(VRAGENLIJST!$F$170=dropdowns!$B$75,VRAGENLIJST!$F$170=dropdowns!$C$75,VRAGENLIJST!$F$170=dropdowns!$D$75,VRAGENLIJST!$F$170=dropdowns!$E$75),OFFSET(VRAGENLIJST!$F$255,Liquiditeit!R3*2-6,0)*VRAGENLIJST!$F$166,IF(OR(VRAGENLIJST!$F$170=dropdowns!$B$76,VRAGENLIJST!$F$170=dropdowns!$C$76,VRAGENLIJST!$F$170=dropdowns!$D$76,VRAGENLIJST!$F$170=dropdowns!$E$76),OFFSET(VRAGENLIJST!$F$255,Liquiditeit!R3*2-8,0)*VRAGENLIJST!$F$166,0))))))</f>
        <v>0</v>
      </c>
      <c r="S21" s="318">
        <f ca="1">IF(VRAGENLIJST!$F$170="",0,IF(OR(VRAGENLIJST!$F$170=dropdowns!$B$72,VRAGENLIJST!$F$170=dropdowns!$C$72,VRAGENLIJST!$F$170=dropdowns!$D$72,VRAGENLIJST!$F$170=dropdowns!$E$72),OFFSET(VRAGENLIJST!$F$255,(COLUMN(S21)-COLUMN($E$21))*2,0)*VRAGENLIJST!$F$166,IF(OR(VRAGENLIJST!$F$170=dropdowns!$B$73,VRAGENLIJST!$F$170=dropdowns!$C$73,VRAGENLIJST!$F$170=dropdowns!$D$73,VRAGENLIJST!$F$170=dropdowns!$E$73),OFFSET(VRAGENLIJST!$F$255,Liquiditeit!S3*2-4,0)*0.5*VRAGENLIJST!$F$166+(OFFSET(VRAGENLIJST!$F$255,(COLUMN(S21)-COLUMN($E$21))*2,0))*0.5*VRAGENLIJST!$F$166,IF(OR(VRAGENLIJST!$F$170=dropdowns!$B$74,VRAGENLIJST!$F$170=dropdowns!$C$74,VRAGENLIJST!$F$170=dropdowns!$D$74,VRAGENLIJST!$F$170=dropdowns!$E$74),OFFSET(VRAGENLIJST!$F$255,Liquiditeit!S3*2-4,0)*VRAGENLIJST!$F$166,IF(OR(VRAGENLIJST!$F$170=dropdowns!$B$75,VRAGENLIJST!$F$170=dropdowns!$C$75,VRAGENLIJST!$F$170=dropdowns!$D$75,VRAGENLIJST!$F$170=dropdowns!$E$75),OFFSET(VRAGENLIJST!$F$255,Liquiditeit!S3*2-6,0)*VRAGENLIJST!$F$166,IF(OR(VRAGENLIJST!$F$170=dropdowns!$B$76,VRAGENLIJST!$F$170=dropdowns!$C$76,VRAGENLIJST!$F$170=dropdowns!$D$76,VRAGENLIJST!$F$170=dropdowns!$E$76),OFFSET(VRAGENLIJST!$F$255,Liquiditeit!S3*2-8,0)*VRAGENLIJST!$F$166,0))))))</f>
        <v>0</v>
      </c>
      <c r="T21" s="318">
        <f ca="1">IF(VRAGENLIJST!$F$170="",0,IF(OR(VRAGENLIJST!$F$170=dropdowns!$B$72,VRAGENLIJST!$F$170=dropdowns!$C$72,VRAGENLIJST!$F$170=dropdowns!$D$72,VRAGENLIJST!$F$170=dropdowns!$E$72),OFFSET(VRAGENLIJST!$F$255,(COLUMN(T21)-COLUMN($E$21))*2,0)*VRAGENLIJST!$F$166,IF(OR(VRAGENLIJST!$F$170=dropdowns!$B$73,VRAGENLIJST!$F$170=dropdowns!$C$73,VRAGENLIJST!$F$170=dropdowns!$D$73,VRAGENLIJST!$F$170=dropdowns!$E$73),OFFSET(VRAGENLIJST!$F$255,Liquiditeit!T3*2-4,0)*0.5*VRAGENLIJST!$F$166+(OFFSET(VRAGENLIJST!$F$255,(COLUMN(T21)-COLUMN($E$21))*2,0))*0.5*VRAGENLIJST!$F$166,IF(OR(VRAGENLIJST!$F$170=dropdowns!$B$74,VRAGENLIJST!$F$170=dropdowns!$C$74,VRAGENLIJST!$F$170=dropdowns!$D$74,VRAGENLIJST!$F$170=dropdowns!$E$74),OFFSET(VRAGENLIJST!$F$255,Liquiditeit!T3*2-4,0)*VRAGENLIJST!$F$166,IF(OR(VRAGENLIJST!$F$170=dropdowns!$B$75,VRAGENLIJST!$F$170=dropdowns!$C$75,VRAGENLIJST!$F$170=dropdowns!$D$75,VRAGENLIJST!$F$170=dropdowns!$E$75),OFFSET(VRAGENLIJST!$F$255,Liquiditeit!T3*2-6,0)*VRAGENLIJST!$F$166,IF(OR(VRAGENLIJST!$F$170=dropdowns!$B$76,VRAGENLIJST!$F$170=dropdowns!$C$76,VRAGENLIJST!$F$170=dropdowns!$D$76,VRAGENLIJST!$F$170=dropdowns!$E$76),OFFSET(VRAGENLIJST!$F$255,Liquiditeit!T3*2-8,0)*VRAGENLIJST!$F$166,0))))))</f>
        <v>0</v>
      </c>
      <c r="U21" s="318">
        <f ca="1">IF(VRAGENLIJST!$F$170="",0,IF(OR(VRAGENLIJST!$F$170=dropdowns!$B$72,VRAGENLIJST!$F$170=dropdowns!$C$72,VRAGENLIJST!$F$170=dropdowns!$D$72,VRAGENLIJST!$F$170=dropdowns!$E$72),OFFSET(VRAGENLIJST!$F$255,(COLUMN(U21)-COLUMN($E$21))*2,0)*VRAGENLIJST!$F$166,IF(OR(VRAGENLIJST!$F$170=dropdowns!$B$73,VRAGENLIJST!$F$170=dropdowns!$C$73,VRAGENLIJST!$F$170=dropdowns!$D$73,VRAGENLIJST!$F$170=dropdowns!$E$73),OFFSET(VRAGENLIJST!$F$255,Liquiditeit!U3*2-4,0)*0.5*VRAGENLIJST!$F$166+(OFFSET(VRAGENLIJST!$F$255,(COLUMN(U21)-COLUMN($E$21))*2,0))*0.5*VRAGENLIJST!$F$166,IF(OR(VRAGENLIJST!$F$170=dropdowns!$B$74,VRAGENLIJST!$F$170=dropdowns!$C$74,VRAGENLIJST!$F$170=dropdowns!$D$74,VRAGENLIJST!$F$170=dropdowns!$E$74),OFFSET(VRAGENLIJST!$F$255,Liquiditeit!U3*2-4,0)*VRAGENLIJST!$F$166,IF(OR(VRAGENLIJST!$F$170=dropdowns!$B$75,VRAGENLIJST!$F$170=dropdowns!$C$75,VRAGENLIJST!$F$170=dropdowns!$D$75,VRAGENLIJST!$F$170=dropdowns!$E$75),OFFSET(VRAGENLIJST!$F$255,Liquiditeit!U3*2-6,0)*VRAGENLIJST!$F$166,IF(OR(VRAGENLIJST!$F$170=dropdowns!$B$76,VRAGENLIJST!$F$170=dropdowns!$C$76,VRAGENLIJST!$F$170=dropdowns!$D$76,VRAGENLIJST!$F$170=dropdowns!$E$76),OFFSET(VRAGENLIJST!$F$255,Liquiditeit!U3*2-8,0)*VRAGENLIJST!$F$166,0))))))</f>
        <v>0</v>
      </c>
      <c r="V21" s="318">
        <f ca="1">IF(VRAGENLIJST!$F$170="",0,IF(OR(VRAGENLIJST!$F$170=dropdowns!$B$72,VRAGENLIJST!$F$170=dropdowns!$C$72,VRAGENLIJST!$F$170=dropdowns!$D$72,VRAGENLIJST!$F$170=dropdowns!$E$72),OFFSET(VRAGENLIJST!$F$255,(COLUMN(V21)-COLUMN($E$21))*2,0)*VRAGENLIJST!$F$166,IF(OR(VRAGENLIJST!$F$170=dropdowns!$B$73,VRAGENLIJST!$F$170=dropdowns!$C$73,VRAGENLIJST!$F$170=dropdowns!$D$73,VRAGENLIJST!$F$170=dropdowns!$E$73),OFFSET(VRAGENLIJST!$F$255,Liquiditeit!V3*2-4,0)*0.5*VRAGENLIJST!$F$166+(OFFSET(VRAGENLIJST!$F$255,(COLUMN(V21)-COLUMN($E$21))*2,0))*0.5*VRAGENLIJST!$F$166,IF(OR(VRAGENLIJST!$F$170=dropdowns!$B$74,VRAGENLIJST!$F$170=dropdowns!$C$74,VRAGENLIJST!$F$170=dropdowns!$D$74,VRAGENLIJST!$F$170=dropdowns!$E$74),OFFSET(VRAGENLIJST!$F$255,Liquiditeit!V3*2-4,0)*VRAGENLIJST!$F$166,IF(OR(VRAGENLIJST!$F$170=dropdowns!$B$75,VRAGENLIJST!$F$170=dropdowns!$C$75,VRAGENLIJST!$F$170=dropdowns!$D$75,VRAGENLIJST!$F$170=dropdowns!$E$75),OFFSET(VRAGENLIJST!$F$255,Liquiditeit!V3*2-6,0)*VRAGENLIJST!$F$166,IF(OR(VRAGENLIJST!$F$170=dropdowns!$B$76,VRAGENLIJST!$F$170=dropdowns!$C$76,VRAGENLIJST!$F$170=dropdowns!$D$76,VRAGENLIJST!$F$170=dropdowns!$E$76),OFFSET(VRAGENLIJST!$F$255,Liquiditeit!V3*2-8,0)*VRAGENLIJST!$F$166,0))))))</f>
        <v>0</v>
      </c>
      <c r="W21" s="318">
        <f ca="1">IF(VRAGENLIJST!$F$170="",0,IF(OR(VRAGENLIJST!$F$170=dropdowns!$B$72,VRAGENLIJST!$F$170=dropdowns!$C$72,VRAGENLIJST!$F$170=dropdowns!$D$72,VRAGENLIJST!$F$170=dropdowns!$E$72),OFFSET(VRAGENLIJST!$F$255,(COLUMN(W21)-COLUMN($E$21))*2,0)*VRAGENLIJST!$F$166,IF(OR(VRAGENLIJST!$F$170=dropdowns!$B$73,VRAGENLIJST!$F$170=dropdowns!$C$73,VRAGENLIJST!$F$170=dropdowns!$D$73,VRAGENLIJST!$F$170=dropdowns!$E$73),OFFSET(VRAGENLIJST!$F$255,Liquiditeit!W3*2-4,0)*0.5*VRAGENLIJST!$F$166+(OFFSET(VRAGENLIJST!$F$255,(COLUMN(W21)-COLUMN($E$21))*2,0))*0.5*VRAGENLIJST!$F$166,IF(OR(VRAGENLIJST!$F$170=dropdowns!$B$74,VRAGENLIJST!$F$170=dropdowns!$C$74,VRAGENLIJST!$F$170=dropdowns!$D$74,VRAGENLIJST!$F$170=dropdowns!$E$74),OFFSET(VRAGENLIJST!$F$255,Liquiditeit!W3*2-4,0)*VRAGENLIJST!$F$166,IF(OR(VRAGENLIJST!$F$170=dropdowns!$B$75,VRAGENLIJST!$F$170=dropdowns!$C$75,VRAGENLIJST!$F$170=dropdowns!$D$75,VRAGENLIJST!$F$170=dropdowns!$E$75),OFFSET(VRAGENLIJST!$F$255,Liquiditeit!W3*2-6,0)*VRAGENLIJST!$F$166,IF(OR(VRAGENLIJST!$F$170=dropdowns!$B$76,VRAGENLIJST!$F$170=dropdowns!$C$76,VRAGENLIJST!$F$170=dropdowns!$D$76,VRAGENLIJST!$F$170=dropdowns!$E$76),OFFSET(VRAGENLIJST!$F$255,Liquiditeit!W3*2-8,0)*VRAGENLIJST!$F$166,0))))))</f>
        <v>0</v>
      </c>
      <c r="X21" s="318">
        <f ca="1">IF(VRAGENLIJST!$F$170="",0,IF(OR(VRAGENLIJST!$F$170=dropdowns!$B$72,VRAGENLIJST!$F$170=dropdowns!$C$72,VRAGENLIJST!$F$170=dropdowns!$D$72,VRAGENLIJST!$F$170=dropdowns!$E$72),OFFSET(VRAGENLIJST!$F$255,(COLUMN(X21)-COLUMN($E$21))*2,0)*VRAGENLIJST!$F$166,IF(OR(VRAGENLIJST!$F$170=dropdowns!$B$73,VRAGENLIJST!$F$170=dropdowns!$C$73,VRAGENLIJST!$F$170=dropdowns!$D$73,VRAGENLIJST!$F$170=dropdowns!$E$73),OFFSET(VRAGENLIJST!$F$255,Liquiditeit!X3*2-4,0)*0.5*VRAGENLIJST!$F$166+(OFFSET(VRAGENLIJST!$F$255,(COLUMN(X21)-COLUMN($E$21))*2,0))*0.5*VRAGENLIJST!$F$166,IF(OR(VRAGENLIJST!$F$170=dropdowns!$B$74,VRAGENLIJST!$F$170=dropdowns!$C$74,VRAGENLIJST!$F$170=dropdowns!$D$74,VRAGENLIJST!$F$170=dropdowns!$E$74),OFFSET(VRAGENLIJST!$F$255,Liquiditeit!X3*2-4,0)*VRAGENLIJST!$F$166,IF(OR(VRAGENLIJST!$F$170=dropdowns!$B$75,VRAGENLIJST!$F$170=dropdowns!$C$75,VRAGENLIJST!$F$170=dropdowns!$D$75,VRAGENLIJST!$F$170=dropdowns!$E$75),OFFSET(VRAGENLIJST!$F$255,Liquiditeit!X3*2-6,0)*VRAGENLIJST!$F$166,IF(OR(VRAGENLIJST!$F$170=dropdowns!$B$76,VRAGENLIJST!$F$170=dropdowns!$C$76,VRAGENLIJST!$F$170=dropdowns!$D$76,VRAGENLIJST!$F$170=dropdowns!$E$76),OFFSET(VRAGENLIJST!$F$255,Liquiditeit!X3*2-8,0)*VRAGENLIJST!$F$166,0))))))</f>
        <v>0</v>
      </c>
      <c r="Y21" s="318">
        <f ca="1">IF(VRAGENLIJST!$F$170="",0,IF(OR(VRAGENLIJST!$F$170=dropdowns!$B$72,VRAGENLIJST!$F$170=dropdowns!$C$72,VRAGENLIJST!$F$170=dropdowns!$D$72,VRAGENLIJST!$F$170=dropdowns!$E$72),OFFSET(VRAGENLIJST!$F$255,(COLUMN(Y21)-COLUMN($E$21))*2,0)*VRAGENLIJST!$F$166,IF(OR(VRAGENLIJST!$F$170=dropdowns!$B$73,VRAGENLIJST!$F$170=dropdowns!$C$73,VRAGENLIJST!$F$170=dropdowns!$D$73,VRAGENLIJST!$F$170=dropdowns!$E$73),OFFSET(VRAGENLIJST!$F$255,Liquiditeit!Y3*2-4,0)*0.5*VRAGENLIJST!$F$166+(OFFSET(VRAGENLIJST!$F$255,(COLUMN(Y21)-COLUMN($E$21))*2,0))*0.5*VRAGENLIJST!$F$166,IF(OR(VRAGENLIJST!$F$170=dropdowns!$B$74,VRAGENLIJST!$F$170=dropdowns!$C$74,VRAGENLIJST!$F$170=dropdowns!$D$74,VRAGENLIJST!$F$170=dropdowns!$E$74),OFFSET(VRAGENLIJST!$F$255,Liquiditeit!Y3*2-4,0)*VRAGENLIJST!$F$166,IF(OR(VRAGENLIJST!$F$170=dropdowns!$B$75,VRAGENLIJST!$F$170=dropdowns!$C$75,VRAGENLIJST!$F$170=dropdowns!$D$75,VRAGENLIJST!$F$170=dropdowns!$E$75),OFFSET(VRAGENLIJST!$F$255,Liquiditeit!Y3*2-6,0)*VRAGENLIJST!$F$166,IF(OR(VRAGENLIJST!$F$170=dropdowns!$B$76,VRAGENLIJST!$F$170=dropdowns!$C$76,VRAGENLIJST!$F$170=dropdowns!$D$76,VRAGENLIJST!$F$170=dropdowns!$E$76),OFFSET(VRAGENLIJST!$F$255,Liquiditeit!Y3*2-8,0)*VRAGENLIJST!$F$166,0))))))</f>
        <v>0</v>
      </c>
      <c r="Z21" s="318">
        <f ca="1">IF(VRAGENLIJST!$F$170="",0,IF(OR(VRAGENLIJST!$F$170=dropdowns!$B$72,VRAGENLIJST!$F$170=dropdowns!$C$72,VRAGENLIJST!$F$170=dropdowns!$D$72,VRAGENLIJST!$F$170=dropdowns!$E$72),OFFSET(VRAGENLIJST!$F$255,(COLUMN(Z21)-COLUMN($E$21))*2,0)*VRAGENLIJST!$F$166,IF(OR(VRAGENLIJST!$F$170=dropdowns!$B$73,VRAGENLIJST!$F$170=dropdowns!$C$73,VRAGENLIJST!$F$170=dropdowns!$D$73,VRAGENLIJST!$F$170=dropdowns!$E$73),OFFSET(VRAGENLIJST!$F$255,Liquiditeit!Z3*2-4,0)*0.5*VRAGENLIJST!$F$166+(OFFSET(VRAGENLIJST!$F$255,(COLUMN(Z21)-COLUMN($E$21))*2,0))*0.5*VRAGENLIJST!$F$166,IF(OR(VRAGENLIJST!$F$170=dropdowns!$B$74,VRAGENLIJST!$F$170=dropdowns!$C$74,VRAGENLIJST!$F$170=dropdowns!$D$74,VRAGENLIJST!$F$170=dropdowns!$E$74),OFFSET(VRAGENLIJST!$F$255,Liquiditeit!Z3*2-4,0)*VRAGENLIJST!$F$166,IF(OR(VRAGENLIJST!$F$170=dropdowns!$B$75,VRAGENLIJST!$F$170=dropdowns!$C$75,VRAGENLIJST!$F$170=dropdowns!$D$75,VRAGENLIJST!$F$170=dropdowns!$E$75),OFFSET(VRAGENLIJST!$F$255,Liquiditeit!Z3*2-6,0)*VRAGENLIJST!$F$166,IF(OR(VRAGENLIJST!$F$170=dropdowns!$B$76,VRAGENLIJST!$F$170=dropdowns!$C$76,VRAGENLIJST!$F$170=dropdowns!$D$76,VRAGENLIJST!$F$170=dropdowns!$E$76),OFFSET(VRAGENLIJST!$F$255,Liquiditeit!Z3*2-8,0)*VRAGENLIJST!$F$166,0))))))</f>
        <v>0</v>
      </c>
      <c r="AA21" s="318">
        <f ca="1">IF(VRAGENLIJST!$F$170="",0,IF(OR(VRAGENLIJST!$F$170=dropdowns!$B$72,VRAGENLIJST!$F$170=dropdowns!$C$72,VRAGENLIJST!$F$170=dropdowns!$D$72,VRAGENLIJST!$F$170=dropdowns!$E$72),OFFSET(VRAGENLIJST!$F$255,(COLUMN(AA21)-COLUMN($E$21))*2,0)*VRAGENLIJST!$F$166,IF(OR(VRAGENLIJST!$F$170=dropdowns!$B$73,VRAGENLIJST!$F$170=dropdowns!$C$73,VRAGENLIJST!$F$170=dropdowns!$D$73,VRAGENLIJST!$F$170=dropdowns!$E$73),OFFSET(VRAGENLIJST!$F$255,Liquiditeit!AA3*2-4,0)*0.5*VRAGENLIJST!$F$166+(OFFSET(VRAGENLIJST!$F$255,(COLUMN(AA21)-COLUMN($E$21))*2,0))*0.5*VRAGENLIJST!$F$166,IF(OR(VRAGENLIJST!$F$170=dropdowns!$B$74,VRAGENLIJST!$F$170=dropdowns!$C$74,VRAGENLIJST!$F$170=dropdowns!$D$74,VRAGENLIJST!$F$170=dropdowns!$E$74),OFFSET(VRAGENLIJST!$F$255,Liquiditeit!AA3*2-4,0)*VRAGENLIJST!$F$166,IF(OR(VRAGENLIJST!$F$170=dropdowns!$B$75,VRAGENLIJST!$F$170=dropdowns!$C$75,VRAGENLIJST!$F$170=dropdowns!$D$75,VRAGENLIJST!$F$170=dropdowns!$E$75),OFFSET(VRAGENLIJST!$F$255,Liquiditeit!AA3*2-6,0)*VRAGENLIJST!$F$166,IF(OR(VRAGENLIJST!$F$170=dropdowns!$B$76,VRAGENLIJST!$F$170=dropdowns!$C$76,VRAGENLIJST!$F$170=dropdowns!$D$76,VRAGENLIJST!$F$170=dropdowns!$E$76),OFFSET(VRAGENLIJST!$F$255,Liquiditeit!AA3*2-8,0)*VRAGENLIJST!$F$166,0))))))</f>
        <v>0</v>
      </c>
      <c r="AB21" s="318">
        <f ca="1">IF(VRAGENLIJST!$F$170="",0,IF(OR(VRAGENLIJST!$F$170=dropdowns!$B$72,VRAGENLIJST!$F$170=dropdowns!$C$72,VRAGENLIJST!$F$170=dropdowns!$D$72,VRAGENLIJST!$F$170=dropdowns!$E$72),OFFSET(VRAGENLIJST!$F$255,(COLUMN(AB21)-COLUMN($E$21))*2,0)*VRAGENLIJST!$F$166,IF(OR(VRAGENLIJST!$F$170=dropdowns!$B$73,VRAGENLIJST!$F$170=dropdowns!$C$73,VRAGENLIJST!$F$170=dropdowns!$D$73,VRAGENLIJST!$F$170=dropdowns!$E$73),OFFSET(VRAGENLIJST!$F$255,Liquiditeit!AB3*2-4,0)*0.5*VRAGENLIJST!$F$166+(OFFSET(VRAGENLIJST!$F$255,(COLUMN(AB21)-COLUMN($E$21))*2,0))*0.5*VRAGENLIJST!$F$166,IF(OR(VRAGENLIJST!$F$170=dropdowns!$B$74,VRAGENLIJST!$F$170=dropdowns!$C$74,VRAGENLIJST!$F$170=dropdowns!$D$74,VRAGENLIJST!$F$170=dropdowns!$E$74),OFFSET(VRAGENLIJST!$F$255,Liquiditeit!AB3*2-4,0)*VRAGENLIJST!$F$166,IF(OR(VRAGENLIJST!$F$170=dropdowns!$B$75,VRAGENLIJST!$F$170=dropdowns!$C$75,VRAGENLIJST!$F$170=dropdowns!$D$75,VRAGENLIJST!$F$170=dropdowns!$E$75),OFFSET(VRAGENLIJST!$F$255,Liquiditeit!AB3*2-6,0)*VRAGENLIJST!$F$166,IF(OR(VRAGENLIJST!$F$170=dropdowns!$B$76,VRAGENLIJST!$F$170=dropdowns!$C$76,VRAGENLIJST!$F$170=dropdowns!$D$76,VRAGENLIJST!$F$170=dropdowns!$E$76),OFFSET(VRAGENLIJST!$F$255,Liquiditeit!AB3*2-8,0)*VRAGENLIJST!$F$166,0))))))</f>
        <v>0</v>
      </c>
      <c r="AC21" s="320">
        <f ca="1">SUM(P21:AB21)</f>
        <v>0</v>
      </c>
      <c r="AD21" s="318">
        <f ca="1">IF(VRAGENLIJST!$F$170="",0,IF(OR(VRAGENLIJST!$F$170=dropdowns!$B$72,VRAGENLIJST!$F$170=dropdowns!$C$72,VRAGENLIJST!$F$170=dropdowns!$D$72,VRAGENLIJST!$F$170=dropdowns!$E$72),OFFSET(VRAGENLIJST!$F$255,(COLUMN(AD21)-COLUMN($F$21))*2,0)*VRAGENLIJST!$F$166,IF(OR(VRAGENLIJST!$F$170=dropdowns!$B$73,VRAGENLIJST!$F$170=dropdowns!$C$73,VRAGENLIJST!$F$170=dropdowns!$D$73,VRAGENLIJST!$F$170=dropdowns!$E$73),OFFSET(VRAGENLIJST!$F$255,Liquiditeit!AD3*2-4,0)*0.5*VRAGENLIJST!$F$166+(OFFSET(VRAGENLIJST!$F$255,(COLUMN(AD21)-COLUMN($F$21))*2,0))*0.5*VRAGENLIJST!$F$166,IF(OR(VRAGENLIJST!$F$170=dropdowns!$B$74,VRAGENLIJST!$F$170=dropdowns!$C$74,VRAGENLIJST!$F$170=dropdowns!$D$74,VRAGENLIJST!$F$170=dropdowns!$E$74),OFFSET(VRAGENLIJST!$F$255,Liquiditeit!AD3*2-4,0)*VRAGENLIJST!$F$166,IF(OR(VRAGENLIJST!$F$170=dropdowns!$B$75,VRAGENLIJST!$F$170=dropdowns!$C$75,VRAGENLIJST!$F$170=dropdowns!$D$75,VRAGENLIJST!$F$170=dropdowns!$E$75),OFFSET(VRAGENLIJST!$F$255,Liquiditeit!AD3*2-6,0)*VRAGENLIJST!$F$166,IF(OR(VRAGENLIJST!$F$170=dropdowns!$B$76,VRAGENLIJST!$F$170=dropdowns!$C$76,VRAGENLIJST!$F$170=dropdowns!$D$76,VRAGENLIJST!$F$170=dropdowns!$E$76),OFFSET(VRAGENLIJST!$F$255,Liquiditeit!AD3*2-8,0)*VRAGENLIJST!$F$166,0))))))</f>
        <v>0</v>
      </c>
      <c r="AE21" s="318">
        <f ca="1">IF(VRAGENLIJST!$F$170="",0,IF(OR(VRAGENLIJST!$F$170=dropdowns!$B$72,VRAGENLIJST!$F$170=dropdowns!$C$72,VRAGENLIJST!$F$170=dropdowns!$D$72,VRAGENLIJST!$F$170=dropdowns!$E$72),OFFSET(VRAGENLIJST!$F$255,(COLUMN(AE21)-COLUMN($F$21))*2,0)*VRAGENLIJST!$F$166,IF(OR(VRAGENLIJST!$F$170=dropdowns!$B$73,VRAGENLIJST!$F$170=dropdowns!$C$73,VRAGENLIJST!$F$170=dropdowns!$D$73,VRAGENLIJST!$F$170=dropdowns!$E$73),OFFSET(VRAGENLIJST!$F$255,Liquiditeit!AE3*2-4,0)*0.5*VRAGENLIJST!$F$166+(OFFSET(VRAGENLIJST!$F$255,(COLUMN(AE21)-COLUMN($F$21))*2,0))*0.5*VRAGENLIJST!$F$166,IF(OR(VRAGENLIJST!$F$170=dropdowns!$B$74,VRAGENLIJST!$F$170=dropdowns!$C$74,VRAGENLIJST!$F$170=dropdowns!$D$74,VRAGENLIJST!$F$170=dropdowns!$E$74),OFFSET(VRAGENLIJST!$F$255,Liquiditeit!AE3*2-4,0)*VRAGENLIJST!$F$166,IF(OR(VRAGENLIJST!$F$170=dropdowns!$B$75,VRAGENLIJST!$F$170=dropdowns!$C$75,VRAGENLIJST!$F$170=dropdowns!$D$75,VRAGENLIJST!$F$170=dropdowns!$E$75),OFFSET(VRAGENLIJST!$F$255,Liquiditeit!AE3*2-6,0)*VRAGENLIJST!$F$166,IF(OR(VRAGENLIJST!$F$170=dropdowns!$B$76,VRAGENLIJST!$F$170=dropdowns!$C$76,VRAGENLIJST!$F$170=dropdowns!$D$76,VRAGENLIJST!$F$170=dropdowns!$E$76),OFFSET(VRAGENLIJST!$F$255,Liquiditeit!AE3*2-8,0)*VRAGENLIJST!$F$166,0))))))</f>
        <v>0</v>
      </c>
      <c r="AF21" s="318">
        <f ca="1">IF(VRAGENLIJST!$F$170="",0,IF(OR(VRAGENLIJST!$F$170=dropdowns!$B$72,VRAGENLIJST!$F$170=dropdowns!$C$72,VRAGENLIJST!$F$170=dropdowns!$D$72,VRAGENLIJST!$F$170=dropdowns!$E$72),OFFSET(VRAGENLIJST!$F$255,(COLUMN(AF21)-COLUMN($F$21))*2,0)*VRAGENLIJST!$F$166,IF(OR(VRAGENLIJST!$F$170=dropdowns!$B$73,VRAGENLIJST!$F$170=dropdowns!$C$73,VRAGENLIJST!$F$170=dropdowns!$D$73,VRAGENLIJST!$F$170=dropdowns!$E$73),OFFSET(VRAGENLIJST!$F$255,Liquiditeit!AF3*2-4,0)*0.5*VRAGENLIJST!$F$166+(OFFSET(VRAGENLIJST!$F$255,(COLUMN(AF21)-COLUMN($F$21))*2,0))*0.5*VRAGENLIJST!$F$166,IF(OR(VRAGENLIJST!$F$170=dropdowns!$B$74,VRAGENLIJST!$F$170=dropdowns!$C$74,VRAGENLIJST!$F$170=dropdowns!$D$74,VRAGENLIJST!$F$170=dropdowns!$E$74),OFFSET(VRAGENLIJST!$F$255,Liquiditeit!AF3*2-4,0)*VRAGENLIJST!$F$166,IF(OR(VRAGENLIJST!$F$170=dropdowns!$B$75,VRAGENLIJST!$F$170=dropdowns!$C$75,VRAGENLIJST!$F$170=dropdowns!$D$75,VRAGENLIJST!$F$170=dropdowns!$E$75),OFFSET(VRAGENLIJST!$F$255,Liquiditeit!AF3*2-6,0)*VRAGENLIJST!$F$166,IF(OR(VRAGENLIJST!$F$170=dropdowns!$B$76,VRAGENLIJST!$F$170=dropdowns!$C$76,VRAGENLIJST!$F$170=dropdowns!$D$76,VRAGENLIJST!$F$170=dropdowns!$E$76),OFFSET(VRAGENLIJST!$F$255,Liquiditeit!AF3*2-8,0)*VRAGENLIJST!$F$166,0))))))</f>
        <v>0</v>
      </c>
      <c r="AG21" s="318">
        <f ca="1">IF(VRAGENLIJST!$F$170="",0,IF(OR(VRAGENLIJST!$F$170=dropdowns!$B$72,VRAGENLIJST!$F$170=dropdowns!$C$72,VRAGENLIJST!$F$170=dropdowns!$D$72,VRAGENLIJST!$F$170=dropdowns!$E$72),OFFSET(VRAGENLIJST!$F$255,(COLUMN(AG21)-COLUMN($F$21))*2,0)*VRAGENLIJST!$F$166,IF(OR(VRAGENLIJST!$F$170=dropdowns!$B$73,VRAGENLIJST!$F$170=dropdowns!$C$73,VRAGENLIJST!$F$170=dropdowns!$D$73,VRAGENLIJST!$F$170=dropdowns!$E$73),OFFSET(VRAGENLIJST!$F$255,Liquiditeit!AG3*2-4,0)*0.5*VRAGENLIJST!$F$166+(OFFSET(VRAGENLIJST!$F$255,(COLUMN(AG21)-COLUMN($F$21))*2,0))*0.5*VRAGENLIJST!$F$166,IF(OR(VRAGENLIJST!$F$170=dropdowns!$B$74,VRAGENLIJST!$F$170=dropdowns!$C$74,VRAGENLIJST!$F$170=dropdowns!$D$74,VRAGENLIJST!$F$170=dropdowns!$E$74),OFFSET(VRAGENLIJST!$F$255,Liquiditeit!AG3*2-4,0)*VRAGENLIJST!$F$166,IF(OR(VRAGENLIJST!$F$170=dropdowns!$B$75,VRAGENLIJST!$F$170=dropdowns!$C$75,VRAGENLIJST!$F$170=dropdowns!$D$75,VRAGENLIJST!$F$170=dropdowns!$E$75),OFFSET(VRAGENLIJST!$F$255,Liquiditeit!AG3*2-6,0)*VRAGENLIJST!$F$166,IF(OR(VRAGENLIJST!$F$170=dropdowns!$B$76,VRAGENLIJST!$F$170=dropdowns!$C$76,VRAGENLIJST!$F$170=dropdowns!$D$76,VRAGENLIJST!$F$170=dropdowns!$E$76),OFFSET(VRAGENLIJST!$F$255,Liquiditeit!AG3*2-8,0)*VRAGENLIJST!$F$166,0))))))</f>
        <v>0</v>
      </c>
      <c r="AH21" s="318">
        <f ca="1">IF(VRAGENLIJST!$F$170="",0,IF(OR(VRAGENLIJST!$F$170=dropdowns!$B$72,VRAGENLIJST!$F$170=dropdowns!$C$72,VRAGENLIJST!$F$170=dropdowns!$D$72,VRAGENLIJST!$F$170=dropdowns!$E$72),OFFSET(VRAGENLIJST!$F$255,(COLUMN(AH21)-COLUMN($F$21))*2,0)*VRAGENLIJST!$F$166,IF(OR(VRAGENLIJST!$F$170=dropdowns!$B$73,VRAGENLIJST!$F$170=dropdowns!$C$73,VRAGENLIJST!$F$170=dropdowns!$D$73,VRAGENLIJST!$F$170=dropdowns!$E$73),OFFSET(VRAGENLIJST!$F$255,Liquiditeit!AH3*2-4,0)*0.5*VRAGENLIJST!$F$166+(OFFSET(VRAGENLIJST!$F$255,(COLUMN(AH21)-COLUMN($F$21))*2,0))*0.5*VRAGENLIJST!$F$166,IF(OR(VRAGENLIJST!$F$170=dropdowns!$B$74,VRAGENLIJST!$F$170=dropdowns!$C$74,VRAGENLIJST!$F$170=dropdowns!$D$74,VRAGENLIJST!$F$170=dropdowns!$E$74),OFFSET(VRAGENLIJST!$F$255,Liquiditeit!AH3*2-4,0)*VRAGENLIJST!$F$166,IF(OR(VRAGENLIJST!$F$170=dropdowns!$B$75,VRAGENLIJST!$F$170=dropdowns!$C$75,VRAGENLIJST!$F$170=dropdowns!$D$75,VRAGENLIJST!$F$170=dropdowns!$E$75),OFFSET(VRAGENLIJST!$F$255,Liquiditeit!AH3*2-6,0)*VRAGENLIJST!$F$166,IF(OR(VRAGENLIJST!$F$170=dropdowns!$B$76,VRAGENLIJST!$F$170=dropdowns!$C$76,VRAGENLIJST!$F$170=dropdowns!$D$76,VRAGENLIJST!$F$170=dropdowns!$E$76),OFFSET(VRAGENLIJST!$F$255,Liquiditeit!AH3*2-8,0)*VRAGENLIJST!$F$166,0))))))</f>
        <v>0</v>
      </c>
      <c r="AI21" s="318">
        <f ca="1">IF(VRAGENLIJST!$F$170="",0,IF(OR(VRAGENLIJST!$F$170=dropdowns!$B$72,VRAGENLIJST!$F$170=dropdowns!$C$72,VRAGENLIJST!$F$170=dropdowns!$D$72,VRAGENLIJST!$F$170=dropdowns!$E$72),OFFSET(VRAGENLIJST!$F$255,(COLUMN(AI21)-COLUMN($F$21))*2,0)*VRAGENLIJST!$F$166,IF(OR(VRAGENLIJST!$F$170=dropdowns!$B$73,VRAGENLIJST!$F$170=dropdowns!$C$73,VRAGENLIJST!$F$170=dropdowns!$D$73,VRAGENLIJST!$F$170=dropdowns!$E$73),OFFSET(VRAGENLIJST!$F$255,Liquiditeit!AI3*2-4,0)*0.5*VRAGENLIJST!$F$166+(OFFSET(VRAGENLIJST!$F$255,(COLUMN(AI21)-COLUMN($F$21))*2,0))*0.5*VRAGENLIJST!$F$166,IF(OR(VRAGENLIJST!$F$170=dropdowns!$B$74,VRAGENLIJST!$F$170=dropdowns!$C$74,VRAGENLIJST!$F$170=dropdowns!$D$74,VRAGENLIJST!$F$170=dropdowns!$E$74),OFFSET(VRAGENLIJST!$F$255,Liquiditeit!AI3*2-4,0)*VRAGENLIJST!$F$166,IF(OR(VRAGENLIJST!$F$170=dropdowns!$B$75,VRAGENLIJST!$F$170=dropdowns!$C$75,VRAGENLIJST!$F$170=dropdowns!$D$75,VRAGENLIJST!$F$170=dropdowns!$E$75),OFFSET(VRAGENLIJST!$F$255,Liquiditeit!AI3*2-6,0)*VRAGENLIJST!$F$166,IF(OR(VRAGENLIJST!$F$170=dropdowns!$B$76,VRAGENLIJST!$F$170=dropdowns!$C$76,VRAGENLIJST!$F$170=dropdowns!$D$76,VRAGENLIJST!$F$170=dropdowns!$E$76),OFFSET(VRAGENLIJST!$F$255,Liquiditeit!AI3*2-8,0)*VRAGENLIJST!$F$166,0))))))</f>
        <v>0</v>
      </c>
      <c r="AJ21" s="318">
        <f ca="1">IF(VRAGENLIJST!$F$170="",0,IF(OR(VRAGENLIJST!$F$170=dropdowns!$B$72,VRAGENLIJST!$F$170=dropdowns!$C$72,VRAGENLIJST!$F$170=dropdowns!$D$72,VRAGENLIJST!$F$170=dropdowns!$E$72),OFFSET(VRAGENLIJST!$F$255,(COLUMN(AJ21)-COLUMN($F$21))*2,0)*VRAGENLIJST!$F$166,IF(OR(VRAGENLIJST!$F$170=dropdowns!$B$73,VRAGENLIJST!$F$170=dropdowns!$C$73,VRAGENLIJST!$F$170=dropdowns!$D$73,VRAGENLIJST!$F$170=dropdowns!$E$73),OFFSET(VRAGENLIJST!$F$255,Liquiditeit!AJ3*2-4,0)*0.5*VRAGENLIJST!$F$166+(OFFSET(VRAGENLIJST!$F$255,(COLUMN(AJ21)-COLUMN($F$21))*2,0))*0.5*VRAGENLIJST!$F$166,IF(OR(VRAGENLIJST!$F$170=dropdowns!$B$74,VRAGENLIJST!$F$170=dropdowns!$C$74,VRAGENLIJST!$F$170=dropdowns!$D$74,VRAGENLIJST!$F$170=dropdowns!$E$74),OFFSET(VRAGENLIJST!$F$255,Liquiditeit!AJ3*2-4,0)*VRAGENLIJST!$F$166,IF(OR(VRAGENLIJST!$F$170=dropdowns!$B$75,VRAGENLIJST!$F$170=dropdowns!$C$75,VRAGENLIJST!$F$170=dropdowns!$D$75,VRAGENLIJST!$F$170=dropdowns!$E$75),OFFSET(VRAGENLIJST!$F$255,Liquiditeit!AJ3*2-6,0)*VRAGENLIJST!$F$166,IF(OR(VRAGENLIJST!$F$170=dropdowns!$B$76,VRAGENLIJST!$F$170=dropdowns!$C$76,VRAGENLIJST!$F$170=dropdowns!$D$76,VRAGENLIJST!$F$170=dropdowns!$E$76),OFFSET(VRAGENLIJST!$F$255,Liquiditeit!AJ3*2-8,0)*VRAGENLIJST!$F$166,0))))))</f>
        <v>0</v>
      </c>
      <c r="AK21" s="318">
        <f ca="1">IF(VRAGENLIJST!$F$170="",0,IF(OR(VRAGENLIJST!$F$170=dropdowns!$B$72,VRAGENLIJST!$F$170=dropdowns!$C$72,VRAGENLIJST!$F$170=dropdowns!$D$72,VRAGENLIJST!$F$170=dropdowns!$E$72),OFFSET(VRAGENLIJST!$F$255,(COLUMN(AK21)-COLUMN($F$21))*2,0)*VRAGENLIJST!$F$166,IF(OR(VRAGENLIJST!$F$170=dropdowns!$B$73,VRAGENLIJST!$F$170=dropdowns!$C$73,VRAGENLIJST!$F$170=dropdowns!$D$73,VRAGENLIJST!$F$170=dropdowns!$E$73),OFFSET(VRAGENLIJST!$F$255,Liquiditeit!AK3*2-4,0)*0.5*VRAGENLIJST!$F$166+(OFFSET(VRAGENLIJST!$F$255,(COLUMN(AK21)-COLUMN($F$21))*2,0))*0.5*VRAGENLIJST!$F$166,IF(OR(VRAGENLIJST!$F$170=dropdowns!$B$74,VRAGENLIJST!$F$170=dropdowns!$C$74,VRAGENLIJST!$F$170=dropdowns!$D$74,VRAGENLIJST!$F$170=dropdowns!$E$74),OFFSET(VRAGENLIJST!$F$255,Liquiditeit!AK3*2-4,0)*VRAGENLIJST!$F$166,IF(OR(VRAGENLIJST!$F$170=dropdowns!$B$75,VRAGENLIJST!$F$170=dropdowns!$C$75,VRAGENLIJST!$F$170=dropdowns!$D$75,VRAGENLIJST!$F$170=dropdowns!$E$75),OFFSET(VRAGENLIJST!$F$255,Liquiditeit!AK3*2-6,0)*VRAGENLIJST!$F$166,IF(OR(VRAGENLIJST!$F$170=dropdowns!$B$76,VRAGENLIJST!$F$170=dropdowns!$C$76,VRAGENLIJST!$F$170=dropdowns!$D$76,VRAGENLIJST!$F$170=dropdowns!$E$76),OFFSET(VRAGENLIJST!$F$255,Liquiditeit!AK3*2-8,0)*VRAGENLIJST!$F$166,0))))))</f>
        <v>0</v>
      </c>
      <c r="AL21" s="318">
        <f ca="1">IF(VRAGENLIJST!$F$170="",0,IF(OR(VRAGENLIJST!$F$170=dropdowns!$B$72,VRAGENLIJST!$F$170=dropdowns!$C$72,VRAGENLIJST!$F$170=dropdowns!$D$72,VRAGENLIJST!$F$170=dropdowns!$E$72),OFFSET(VRAGENLIJST!$F$255,(COLUMN(AL21)-COLUMN($F$21))*2,0)*VRAGENLIJST!$F$166,IF(OR(VRAGENLIJST!$F$170=dropdowns!$B$73,VRAGENLIJST!$F$170=dropdowns!$C$73,VRAGENLIJST!$F$170=dropdowns!$D$73,VRAGENLIJST!$F$170=dropdowns!$E$73),OFFSET(VRAGENLIJST!$F$255,Liquiditeit!AL3*2-4,0)*0.5*VRAGENLIJST!$F$166+(OFFSET(VRAGENLIJST!$F$255,(COLUMN(AL21)-COLUMN($F$21))*2,0))*0.5*VRAGENLIJST!$F$166,IF(OR(VRAGENLIJST!$F$170=dropdowns!$B$74,VRAGENLIJST!$F$170=dropdowns!$C$74,VRAGENLIJST!$F$170=dropdowns!$D$74,VRAGENLIJST!$F$170=dropdowns!$E$74),OFFSET(VRAGENLIJST!$F$255,Liquiditeit!AL3*2-4,0)*VRAGENLIJST!$F$166,IF(OR(VRAGENLIJST!$F$170=dropdowns!$B$75,VRAGENLIJST!$F$170=dropdowns!$C$75,VRAGENLIJST!$F$170=dropdowns!$D$75,VRAGENLIJST!$F$170=dropdowns!$E$75),OFFSET(VRAGENLIJST!$F$255,Liquiditeit!AL3*2-6,0)*VRAGENLIJST!$F$166,IF(OR(VRAGENLIJST!$F$170=dropdowns!$B$76,VRAGENLIJST!$F$170=dropdowns!$C$76,VRAGENLIJST!$F$170=dropdowns!$D$76,VRAGENLIJST!$F$170=dropdowns!$E$76),OFFSET(VRAGENLIJST!$F$255,Liquiditeit!AL3*2-8,0)*VRAGENLIJST!$F$166,0))))))</f>
        <v>0</v>
      </c>
      <c r="AM21" s="318">
        <f ca="1">IF(VRAGENLIJST!$F$170="",0,IF(OR(VRAGENLIJST!$F$170=dropdowns!$B$72,VRAGENLIJST!$F$170=dropdowns!$C$72,VRAGENLIJST!$F$170=dropdowns!$D$72,VRAGENLIJST!$F$170=dropdowns!$E$72),OFFSET(VRAGENLIJST!$F$255,(COLUMN(AM21)-COLUMN($F$21))*2,0)*VRAGENLIJST!$F$166,IF(OR(VRAGENLIJST!$F$170=dropdowns!$B$73,VRAGENLIJST!$F$170=dropdowns!$C$73,VRAGENLIJST!$F$170=dropdowns!$D$73,VRAGENLIJST!$F$170=dropdowns!$E$73),OFFSET(VRAGENLIJST!$F$255,Liquiditeit!AM3*2-4,0)*0.5*VRAGENLIJST!$F$166+(OFFSET(VRAGENLIJST!$F$255,(COLUMN(AM21)-COLUMN($F$21))*2,0))*0.5*VRAGENLIJST!$F$166,IF(OR(VRAGENLIJST!$F$170=dropdowns!$B$74,VRAGENLIJST!$F$170=dropdowns!$C$74,VRAGENLIJST!$F$170=dropdowns!$D$74,VRAGENLIJST!$F$170=dropdowns!$E$74),OFFSET(VRAGENLIJST!$F$255,Liquiditeit!AM3*2-4,0)*VRAGENLIJST!$F$166,IF(OR(VRAGENLIJST!$F$170=dropdowns!$B$75,VRAGENLIJST!$F$170=dropdowns!$C$75,VRAGENLIJST!$F$170=dropdowns!$D$75,VRAGENLIJST!$F$170=dropdowns!$E$75),OFFSET(VRAGENLIJST!$F$255,Liquiditeit!AM3*2-6,0)*VRAGENLIJST!$F$166,IF(OR(VRAGENLIJST!$F$170=dropdowns!$B$76,VRAGENLIJST!$F$170=dropdowns!$C$76,VRAGENLIJST!$F$170=dropdowns!$D$76,VRAGENLIJST!$F$170=dropdowns!$E$76),OFFSET(VRAGENLIJST!$F$255,Liquiditeit!AM3*2-8,0)*VRAGENLIJST!$F$166,0))))))</f>
        <v>0</v>
      </c>
      <c r="AN21" s="318">
        <f ca="1">IF(VRAGENLIJST!$F$170="",0,IF(OR(VRAGENLIJST!$F$170=dropdowns!$B$72,VRAGENLIJST!$F$170=dropdowns!$C$72,VRAGENLIJST!$F$170=dropdowns!$D$72,VRAGENLIJST!$F$170=dropdowns!$E$72),OFFSET(VRAGENLIJST!$F$255,(COLUMN(AN21)-COLUMN($F$21))*2,0)*VRAGENLIJST!$F$166,IF(OR(VRAGENLIJST!$F$170=dropdowns!$B$73,VRAGENLIJST!$F$170=dropdowns!$C$73,VRAGENLIJST!$F$170=dropdowns!$D$73,VRAGENLIJST!$F$170=dropdowns!$E$73),OFFSET(VRAGENLIJST!$F$255,Liquiditeit!AN3*2-4,0)*0.5*VRAGENLIJST!$F$166+(OFFSET(VRAGENLIJST!$F$255,(COLUMN(AN21)-COLUMN($F$21))*2,0))*0.5*VRAGENLIJST!$F$166,IF(OR(VRAGENLIJST!$F$170=dropdowns!$B$74,VRAGENLIJST!$F$170=dropdowns!$C$74,VRAGENLIJST!$F$170=dropdowns!$D$74,VRAGENLIJST!$F$170=dropdowns!$E$74),OFFSET(VRAGENLIJST!$F$255,Liquiditeit!AN3*2-4,0)*VRAGENLIJST!$F$166,IF(OR(VRAGENLIJST!$F$170=dropdowns!$B$75,VRAGENLIJST!$F$170=dropdowns!$C$75,VRAGENLIJST!$F$170=dropdowns!$D$75,VRAGENLIJST!$F$170=dropdowns!$E$75),OFFSET(VRAGENLIJST!$F$255,Liquiditeit!AN3*2-6,0)*VRAGENLIJST!$F$166,IF(OR(VRAGENLIJST!$F$170=dropdowns!$B$76,VRAGENLIJST!$F$170=dropdowns!$C$76,VRAGENLIJST!$F$170=dropdowns!$D$76,VRAGENLIJST!$F$170=dropdowns!$E$76),OFFSET(VRAGENLIJST!$F$255,Liquiditeit!AN3*2-8,0)*VRAGENLIJST!$F$166,0))))))</f>
        <v>0</v>
      </c>
      <c r="AO21" s="318">
        <f ca="1">IF(VRAGENLIJST!$F$170="",0,IF(OR(VRAGENLIJST!$F$170=dropdowns!$B$72,VRAGENLIJST!$F$170=dropdowns!$C$72,VRAGENLIJST!$F$170=dropdowns!$D$72,VRAGENLIJST!$F$170=dropdowns!$E$72),OFFSET(VRAGENLIJST!$F$255,(COLUMN(AO21)-COLUMN($F$21))*2,0)*VRAGENLIJST!$F$166,IF(OR(VRAGENLIJST!$F$170=dropdowns!$B$73,VRAGENLIJST!$F$170=dropdowns!$C$73,VRAGENLIJST!$F$170=dropdowns!$D$73,VRAGENLIJST!$F$170=dropdowns!$E$73),OFFSET(VRAGENLIJST!$F$255,Liquiditeit!AO3*2-4,0)*0.5*VRAGENLIJST!$F$166+(OFFSET(VRAGENLIJST!$F$255,(COLUMN(AO21)-COLUMN($F$21))*2,0))*0.5*VRAGENLIJST!$F$166,IF(OR(VRAGENLIJST!$F$170=dropdowns!$B$74,VRAGENLIJST!$F$170=dropdowns!$C$74,VRAGENLIJST!$F$170=dropdowns!$D$74,VRAGENLIJST!$F$170=dropdowns!$E$74),OFFSET(VRAGENLIJST!$F$255,Liquiditeit!AO3*2-4,0)*VRAGENLIJST!$F$166,IF(OR(VRAGENLIJST!$F$170=dropdowns!$B$75,VRAGENLIJST!$F$170=dropdowns!$C$75,VRAGENLIJST!$F$170=dropdowns!$D$75,VRAGENLIJST!$F$170=dropdowns!$E$75),OFFSET(VRAGENLIJST!$F$255,Liquiditeit!AO3*2-6,0)*VRAGENLIJST!$F$166,IF(OR(VRAGENLIJST!$F$170=dropdowns!$B$76,VRAGENLIJST!$F$170=dropdowns!$C$76,VRAGENLIJST!$F$170=dropdowns!$D$76,VRAGENLIJST!$F$170=dropdowns!$E$76),OFFSET(VRAGENLIJST!$F$255,Liquiditeit!AO3*2-8,0)*VRAGENLIJST!$F$166,0))))))</f>
        <v>0</v>
      </c>
      <c r="AP21" s="320">
        <f ca="1">SUM(AC21:AO21)</f>
        <v>0</v>
      </c>
    </row>
    <row r="22" spans="2:42" ht="14.25" customHeight="1" x14ac:dyDescent="0.25">
      <c r="B22" s="317" t="str">
        <f>Vertaling!A282</f>
        <v xml:space="preserve"> Inkoop product 3</v>
      </c>
      <c r="C22" s="318">
        <f>IF(OR(VRAGENLIJST!D103=dropdowns!$B$28,VRAGENLIJST!D103=dropdowns!$C$28,VRAGENLIJST!D103=dropdowns!$D$28,VRAGENLIJST!D103=dropdowns!$E$28),0,VRAGENLIJST!H103)</f>
        <v>0</v>
      </c>
      <c r="D22" s="318">
        <f>IF(VRAGENLIJST!$H$170="",0,IF(OR(VRAGENLIJST!$H$170=dropdowns!$B$72,VRAGENLIJST!$H$170=dropdowns!$C$72,VRAGENLIJST!$H$170=dropdowns!$D$72,VRAGENLIJST!$H$170=dropdowns!$E$72),VRAGENLIJST!$H$255*VRAGENLIJST!$H$166,IF(OR(VRAGENLIJST!$H$170=dropdowns!$B$73,VRAGENLIJST!$H$170=dropdowns!$C$73,VRAGENLIJST!$H$170=dropdowns!$D$73,VRAGENLIJST!$H$170=dropdowns!$E$73),VRAGENLIJST!$H$255*0.5*VRAGENLIJST!$H$166,0)))</f>
        <v>0</v>
      </c>
      <c r="E22" s="318">
        <f ca="1">IF(VRAGENLIJST!$H$170="",0,IF(OR(VRAGENLIJST!$H$170=dropdowns!$B$72,VRAGENLIJST!$H$170=dropdowns!$C$72,VRAGENLIJST!$H$170=dropdowns!$D$72,VRAGENLIJST!$H$170=dropdowns!$E$72),OFFSET(VRAGENLIJST!$H$255,(COLUMN(E21)-COLUMN($D$21))*2,0)*VRAGENLIJST!$H$166,IF(OR(VRAGENLIJST!$H$170=dropdowns!$B$73,VRAGENLIJST!$H$170=dropdowns!$C$73,VRAGENLIJST!$H$170=dropdowns!$D$73,VRAGENLIJST!$H$170=dropdowns!$E$73),VRAGENLIJST!$H$255*0.5*VRAGENLIJST!$H$166+(OFFSET(VRAGENLIJST!$H$255,(COLUMN(E21)-COLUMN($D$21))*2,0))*0.5*VRAGENLIJST!$H$166,IF(OR(VRAGENLIJST!$H$170=dropdowns!$B$74,VRAGENLIJST!$H$170=dropdowns!$C$74,VRAGENLIJST!$H$170=dropdowns!$D$74,VRAGENLIJST!$H$170=dropdowns!$E$74),VRAGENLIJST!$H$255*VRAGENLIJST!$H$166,0))))</f>
        <v>0</v>
      </c>
      <c r="F22" s="318">
        <f ca="1">IF(VRAGENLIJST!$H$170="",0,IF(OR(VRAGENLIJST!$H$170=dropdowns!$B$72,VRAGENLIJST!$H$170=dropdowns!$C$72,VRAGENLIJST!$H$170=dropdowns!$D$72,VRAGENLIJST!$H$170=dropdowns!$E$72),OFFSET(VRAGENLIJST!$H$255,(COLUMN(F21)-COLUMN($D$21))*2,0)*VRAGENLIJST!$H$166,IF(OR(VRAGENLIJST!$H$170=dropdowns!$B$73,VRAGENLIJST!$H$170=dropdowns!$C$73,VRAGENLIJST!$H$170=dropdowns!$D$73,VRAGENLIJST!$H$170=dropdowns!$E$73),OFFSET(VRAGENLIJST!$H$255,Liquiditeit!F3*2-4,0)*0.5*VRAGENLIJST!$H$166+(OFFSET(VRAGENLIJST!$H$255,(COLUMN(F21)-COLUMN($D$21))*2,0))*0.5*VRAGENLIJST!$H$166,IF(OR(VRAGENLIJST!$H$170=dropdowns!$B$74,VRAGENLIJST!$H$170=dropdowns!$C$74,VRAGENLIJST!$H$170=dropdowns!$D$74,VRAGENLIJST!$H$170=dropdowns!$E$74),OFFSET(VRAGENLIJST!$H$255,Liquiditeit!F3*2-4,0)*VRAGENLIJST!$H$166,IF(OR(VRAGENLIJST!$H$170=dropdowns!$B$75,VRAGENLIJST!$H$170=dropdowns!$C$75,VRAGENLIJST!$H$170=dropdowns!$D$75,VRAGENLIJST!$H$170=dropdowns!$E$75),VRAGENLIJST!$H$255*VRAGENLIJST!$H$166,0)))))</f>
        <v>0</v>
      </c>
      <c r="G22" s="318">
        <f ca="1">IF(VRAGENLIJST!$H$170="",0,IF(OR(VRAGENLIJST!$H$170=dropdowns!$B$72,VRAGENLIJST!$H$170=dropdowns!$C$72,VRAGENLIJST!$H$170=dropdowns!$D$72,VRAGENLIJST!$H$170=dropdowns!$E$72),OFFSET(VRAGENLIJST!$H$255,(COLUMN(G21)-COLUMN($D$21))*2,0)*VRAGENLIJST!$H$166,IF(OR(VRAGENLIJST!$H$170=dropdowns!$B$73,VRAGENLIJST!$H$170=dropdowns!$C$73,VRAGENLIJST!$H$170=dropdowns!$D$73,VRAGENLIJST!$H$170=dropdowns!$E$73),OFFSET(VRAGENLIJST!$H$255,Liquiditeit!G3*2-4,0)*0.5*VRAGENLIJST!$H$166+(OFFSET(VRAGENLIJST!$H$255,(COLUMN(G21)-COLUMN($D$21))*2,0))*0.5*VRAGENLIJST!$H$166,IF(OR(VRAGENLIJST!$H$170=dropdowns!$B$74,VRAGENLIJST!$H$170=dropdowns!$C$74,VRAGENLIJST!$H$170=dropdowns!$D$74,VRAGENLIJST!$H$170=dropdowns!$E$74),OFFSET(VRAGENLIJST!$H$255,Liquiditeit!G3*2-4,0)*VRAGENLIJST!$H$166,IF(OR(VRAGENLIJST!$H$170=dropdowns!$B$75,VRAGENLIJST!$H$170=dropdowns!$C$75,VRAGENLIJST!$H$170=dropdowns!$D$75,VRAGENLIJST!$H$170=dropdowns!$E$75),OFFSET(VRAGENLIJST!$H$255,Liquiditeit!G3*2-6,0)*VRAGENLIJST!$H$166,IF(OR(VRAGENLIJST!$H$170=dropdowns!$B$76,VRAGENLIJST!$H$170=dropdowns!$C$76,VRAGENLIJST!$H$170=dropdowns!$D$76,VRAGENLIJST!$H$170=dropdowns!$E$76),VRAGENLIJST!$H$255*VRAGENLIJST!$H$166,0))))))</f>
        <v>0</v>
      </c>
      <c r="H22" s="318">
        <f ca="1">IF(VRAGENLIJST!$H$170="",0,IF(OR(VRAGENLIJST!$H$170=dropdowns!$B$72,VRAGENLIJST!$H$170=dropdowns!$C$72,VRAGENLIJST!$H$170=dropdowns!$D$72,VRAGENLIJST!$H$170=dropdowns!$E$72),OFFSET(VRAGENLIJST!$H$255,(COLUMN(H21)-COLUMN($D$21))*2,0)*VRAGENLIJST!$H$166,IF(OR(VRAGENLIJST!$H$170=dropdowns!$B$73,VRAGENLIJST!$H$170=dropdowns!$C$73,VRAGENLIJST!$H$170=dropdowns!$D$73,VRAGENLIJST!$H$170=dropdowns!$E$73),OFFSET(VRAGENLIJST!$H$255,Liquiditeit!H3*2-4,0)*0.5*VRAGENLIJST!$H$166+(OFFSET(VRAGENLIJST!$H$255,(COLUMN(H21)-COLUMN($D$21))*2,0))*0.5*VRAGENLIJST!$H$166,IF(OR(VRAGENLIJST!$H$170=dropdowns!$B$74,VRAGENLIJST!$H$170=dropdowns!$C$74,VRAGENLIJST!$H$170=dropdowns!$D$74,VRAGENLIJST!$H$170=dropdowns!$E$74),OFFSET(VRAGENLIJST!$H$255,Liquiditeit!H3*2-4,0)*VRAGENLIJST!$H$166,IF(OR(VRAGENLIJST!$H$170=dropdowns!$B$75,VRAGENLIJST!$H$170=dropdowns!$C$75,VRAGENLIJST!$H$170=dropdowns!$D$75,VRAGENLIJST!$H$170=dropdowns!$E$75),OFFSET(VRAGENLIJST!$H$255,Liquiditeit!H3*2-6,0)*VRAGENLIJST!$H$166,IF(OR(VRAGENLIJST!$H$170=dropdowns!$B$76,VRAGENLIJST!$H$170=dropdowns!$C$76,VRAGENLIJST!$H$170=dropdowns!$D$76,VRAGENLIJST!$H$170=dropdowns!$E$76),OFFSET(VRAGENLIJST!$H$255,Liquiditeit!H3*2-8,0)*VRAGENLIJST!$H$166,0))))))</f>
        <v>0</v>
      </c>
      <c r="I22" s="318">
        <f ca="1">IF(VRAGENLIJST!$H$170="",0,IF(OR(VRAGENLIJST!$H$170=dropdowns!$B$72,VRAGENLIJST!$H$170=dropdowns!$C$72,VRAGENLIJST!$H$170=dropdowns!$D$72,VRAGENLIJST!$H$170=dropdowns!$E$72),OFFSET(VRAGENLIJST!$H$255,(COLUMN(I21)-COLUMN($D$21))*2,0)*VRAGENLIJST!$H$166,IF(OR(VRAGENLIJST!$H$170=dropdowns!$B$73,VRAGENLIJST!$H$170=dropdowns!$C$73,VRAGENLIJST!$H$170=dropdowns!$D$73,VRAGENLIJST!$H$170=dropdowns!$E$73),OFFSET(VRAGENLIJST!$H$255,Liquiditeit!I3*2-4,0)*0.5*VRAGENLIJST!$H$166+(OFFSET(VRAGENLIJST!$H$255,(COLUMN(I21)-COLUMN($D$21))*2,0))*0.5*VRAGENLIJST!$H$166,IF(OR(VRAGENLIJST!$H$170=dropdowns!$B$74,VRAGENLIJST!$H$170=dropdowns!$C$74,VRAGENLIJST!$H$170=dropdowns!$D$74,VRAGENLIJST!$H$170=dropdowns!$E$74),OFFSET(VRAGENLIJST!$H$255,Liquiditeit!I3*2-4,0)*VRAGENLIJST!$H$166,IF(OR(VRAGENLIJST!$H$170=dropdowns!$B$75,VRAGENLIJST!$H$170=dropdowns!$C$75,VRAGENLIJST!$H$170=dropdowns!$D$75,VRAGENLIJST!$H$170=dropdowns!$E$75),OFFSET(VRAGENLIJST!$H$255,Liquiditeit!I3*2-6,0)*VRAGENLIJST!$H$166,IF(OR(VRAGENLIJST!$H$170=dropdowns!$B$76,VRAGENLIJST!$H$170=dropdowns!$C$76,VRAGENLIJST!$H$170=dropdowns!$D$76,VRAGENLIJST!$H$170=dropdowns!$E$76),OFFSET(VRAGENLIJST!$H$255,Liquiditeit!I3*2-8,0)*VRAGENLIJST!$H$166,0))))))</f>
        <v>0</v>
      </c>
      <c r="J22" s="318">
        <f ca="1">IF(VRAGENLIJST!$H$170="",0,IF(OR(VRAGENLIJST!$H$170=dropdowns!$B$72,VRAGENLIJST!$H$170=dropdowns!$C$72,VRAGENLIJST!$H$170=dropdowns!$D$72,VRAGENLIJST!$H$170=dropdowns!$E$72),OFFSET(VRAGENLIJST!$H$255,(COLUMN(J21)-COLUMN($D$21))*2,0)*VRAGENLIJST!$H$166,IF(OR(VRAGENLIJST!$H$170=dropdowns!$B$73,VRAGENLIJST!$H$170=dropdowns!$C$73,VRAGENLIJST!$H$170=dropdowns!$D$73,VRAGENLIJST!$H$170=dropdowns!$E$73),OFFSET(VRAGENLIJST!$H$255,Liquiditeit!J3*2-4,0)*0.5*VRAGENLIJST!$H$166+(OFFSET(VRAGENLIJST!$H$255,(COLUMN(J21)-COLUMN($D$21))*2,0))*0.5*VRAGENLIJST!$H$166,IF(OR(VRAGENLIJST!$H$170=dropdowns!$B$74,VRAGENLIJST!$H$170=dropdowns!$C$74,VRAGENLIJST!$H$170=dropdowns!$D$74,VRAGENLIJST!$H$170=dropdowns!$E$74),OFFSET(VRAGENLIJST!$H$255,Liquiditeit!J3*2-4,0)*VRAGENLIJST!$H$166,IF(OR(VRAGENLIJST!$H$170=dropdowns!$B$75,VRAGENLIJST!$H$170=dropdowns!$C$75,VRAGENLIJST!$H$170=dropdowns!$D$75,VRAGENLIJST!$H$170=dropdowns!$E$75),OFFSET(VRAGENLIJST!$H$255,Liquiditeit!J3*2-6,0)*VRAGENLIJST!$H$166,IF(OR(VRAGENLIJST!$H$170=dropdowns!$B$76,VRAGENLIJST!$H$170=dropdowns!$C$76,VRAGENLIJST!$H$170=dropdowns!$D$76,VRAGENLIJST!$H$170=dropdowns!$E$76),OFFSET(VRAGENLIJST!$H$255,Liquiditeit!J3*2-8,0)*VRAGENLIJST!$H$166,0))))))</f>
        <v>0</v>
      </c>
      <c r="K22" s="318">
        <f ca="1">IF(VRAGENLIJST!$H$170="",0,IF(OR(VRAGENLIJST!$H$170=dropdowns!$B$72,VRAGENLIJST!$H$170=dropdowns!$C$72,VRAGENLIJST!$H$170=dropdowns!$D$72,VRAGENLIJST!$H$170=dropdowns!$E$72),OFFSET(VRAGENLIJST!$H$255,(COLUMN(K21)-COLUMN($D$21))*2,0)*VRAGENLIJST!$H$166,IF(OR(VRAGENLIJST!$H$170=dropdowns!$B$73,VRAGENLIJST!$H$170=dropdowns!$C$73,VRAGENLIJST!$H$170=dropdowns!$D$73,VRAGENLIJST!$H$170=dropdowns!$E$73),OFFSET(VRAGENLIJST!$H$255,Liquiditeit!K3*2-4,0)*0.5*VRAGENLIJST!$H$166+(OFFSET(VRAGENLIJST!$H$255,(COLUMN(K21)-COLUMN($D$21))*2,0))*0.5*VRAGENLIJST!$H$166,IF(OR(VRAGENLIJST!$H$170=dropdowns!$B$74,VRAGENLIJST!$H$170=dropdowns!$C$74,VRAGENLIJST!$H$170=dropdowns!$D$74,VRAGENLIJST!$H$170=dropdowns!$E$74),OFFSET(VRAGENLIJST!$H$255,Liquiditeit!K3*2-4,0)*VRAGENLIJST!$H$166,IF(OR(VRAGENLIJST!$H$170=dropdowns!$B$75,VRAGENLIJST!$H$170=dropdowns!$C$75,VRAGENLIJST!$H$170=dropdowns!$D$75,VRAGENLIJST!$H$170=dropdowns!$E$75),OFFSET(VRAGENLIJST!$H$255,Liquiditeit!K3*2-6,0)*VRAGENLIJST!$H$166,IF(OR(VRAGENLIJST!$H$170=dropdowns!$B$76,VRAGENLIJST!$H$170=dropdowns!$C$76,VRAGENLIJST!$H$170=dropdowns!$D$76,VRAGENLIJST!$H$170=dropdowns!$E$76),OFFSET(VRAGENLIJST!$H$255,Liquiditeit!K3*2-8,0)*VRAGENLIJST!$H$166,0))))))</f>
        <v>0</v>
      </c>
      <c r="L22" s="318">
        <f ca="1">IF(VRAGENLIJST!$H$170="",0,IF(OR(VRAGENLIJST!$H$170=dropdowns!$B$72,VRAGENLIJST!$H$170=dropdowns!$C$72,VRAGENLIJST!$H$170=dropdowns!$D$72,VRAGENLIJST!$H$170=dropdowns!$E$72),OFFSET(VRAGENLIJST!$H$255,(COLUMN(L21)-COLUMN($D$21))*2,0)*VRAGENLIJST!$H$166,IF(OR(VRAGENLIJST!$H$170=dropdowns!$B$73,VRAGENLIJST!$H$170=dropdowns!$C$73,VRAGENLIJST!$H$170=dropdowns!$D$73,VRAGENLIJST!$H$170=dropdowns!$E$73),OFFSET(VRAGENLIJST!$H$255,Liquiditeit!L3*2-4,0)*0.5*VRAGENLIJST!$H$166+(OFFSET(VRAGENLIJST!$H$255,(COLUMN(L21)-COLUMN($D$21))*2,0))*0.5*VRAGENLIJST!$H$166,IF(OR(VRAGENLIJST!$H$170=dropdowns!$B$74,VRAGENLIJST!$H$170=dropdowns!$C$74,VRAGENLIJST!$H$170=dropdowns!$D$74,VRAGENLIJST!$H$170=dropdowns!$E$74),OFFSET(VRAGENLIJST!$H$255,Liquiditeit!L3*2-4,0)*VRAGENLIJST!$H$166,IF(OR(VRAGENLIJST!$H$170=dropdowns!$B$75,VRAGENLIJST!$H$170=dropdowns!$C$75,VRAGENLIJST!$H$170=dropdowns!$D$75,VRAGENLIJST!$H$170=dropdowns!$E$75),OFFSET(VRAGENLIJST!$H$255,Liquiditeit!L3*2-6,0)*VRAGENLIJST!$H$166,IF(OR(VRAGENLIJST!$H$170=dropdowns!$B$76,VRAGENLIJST!$H$170=dropdowns!$C$76,VRAGENLIJST!$H$170=dropdowns!$D$76,VRAGENLIJST!$H$170=dropdowns!$E$76),OFFSET(VRAGENLIJST!$H$255,Liquiditeit!L3*2-8,0)*VRAGENLIJST!$H$166,0))))))</f>
        <v>0</v>
      </c>
      <c r="M22" s="318">
        <f ca="1">IF(VRAGENLIJST!$H$170="",0,IF(OR(VRAGENLIJST!$H$170=dropdowns!$B$72,VRAGENLIJST!$H$170=dropdowns!$C$72,VRAGENLIJST!$H$170=dropdowns!$D$72,VRAGENLIJST!$H$170=dropdowns!$E$72),OFFSET(VRAGENLIJST!$H$255,(COLUMN(M21)-COLUMN($D$21))*2,0)*VRAGENLIJST!$H$166,IF(OR(VRAGENLIJST!$H$170=dropdowns!$B$73,VRAGENLIJST!$H$170=dropdowns!$C$73,VRAGENLIJST!$H$170=dropdowns!$D$73,VRAGENLIJST!$H$170=dropdowns!$E$73),OFFSET(VRAGENLIJST!$H$255,Liquiditeit!M3*2-4,0)*0.5*VRAGENLIJST!$H$166+(OFFSET(VRAGENLIJST!$H$255,(COLUMN(M21)-COLUMN($D$21))*2,0))*0.5*VRAGENLIJST!$H$166,IF(OR(VRAGENLIJST!$H$170=dropdowns!$B$74,VRAGENLIJST!$H$170=dropdowns!$C$74,VRAGENLIJST!$H$170=dropdowns!$D$74,VRAGENLIJST!$H$170=dropdowns!$E$74),OFFSET(VRAGENLIJST!$H$255,Liquiditeit!M3*2-4,0)*VRAGENLIJST!$H$166,IF(OR(VRAGENLIJST!$H$170=dropdowns!$B$75,VRAGENLIJST!$H$170=dropdowns!$C$75,VRAGENLIJST!$H$170=dropdowns!$D$75,VRAGENLIJST!$H$170=dropdowns!$E$75),OFFSET(VRAGENLIJST!$H$255,Liquiditeit!M3*2-6,0)*VRAGENLIJST!$H$166,IF(OR(VRAGENLIJST!$H$170=dropdowns!$B$76,VRAGENLIJST!$H$170=dropdowns!$C$76,VRAGENLIJST!$H$170=dropdowns!$D$76,VRAGENLIJST!$H$170=dropdowns!$E$76),OFFSET(VRAGENLIJST!$H$255,Liquiditeit!M3*2-8,0)*VRAGENLIJST!$H$166,0))))))</f>
        <v>0</v>
      </c>
      <c r="N22" s="318">
        <f ca="1">IF(VRAGENLIJST!$H$170="",0,IF(OR(VRAGENLIJST!$H$170=dropdowns!$B$72,VRAGENLIJST!$H$170=dropdowns!$C$72,VRAGENLIJST!$H$170=dropdowns!$D$72,VRAGENLIJST!$H$170=dropdowns!$E$72),OFFSET(VRAGENLIJST!$H$255,(COLUMN(N21)-COLUMN($D$21))*2,0)*VRAGENLIJST!$H$166,IF(OR(VRAGENLIJST!$H$170=dropdowns!$B$73,VRAGENLIJST!$H$170=dropdowns!$C$73,VRAGENLIJST!$H$170=dropdowns!$D$73,VRAGENLIJST!$H$170=dropdowns!$E$73),OFFSET(VRAGENLIJST!$H$255,Liquiditeit!N3*2-4,0)*0.5*VRAGENLIJST!$H$166+(OFFSET(VRAGENLIJST!$H$255,(COLUMN(N21)-COLUMN($D$21))*2,0))*0.5*VRAGENLIJST!$H$166,IF(OR(VRAGENLIJST!$H$170=dropdowns!$B$74,VRAGENLIJST!$H$170=dropdowns!$C$74,VRAGENLIJST!$H$170=dropdowns!$D$74,VRAGENLIJST!$H$170=dropdowns!$E$74),OFFSET(VRAGENLIJST!$H$255,Liquiditeit!N3*2-4,0)*VRAGENLIJST!$H$166,IF(OR(VRAGENLIJST!$H$170=dropdowns!$B$75,VRAGENLIJST!$H$170=dropdowns!$C$75,VRAGENLIJST!$H$170=dropdowns!$D$75,VRAGENLIJST!$H$170=dropdowns!$E$75),OFFSET(VRAGENLIJST!$H$255,Liquiditeit!N3*2-6,0)*VRAGENLIJST!$H$166,IF(OR(VRAGENLIJST!$H$170=dropdowns!$B$76,VRAGENLIJST!$H$170=dropdowns!$C$76,VRAGENLIJST!$H$170=dropdowns!$D$76,VRAGENLIJST!$H$170=dropdowns!$E$76),OFFSET(VRAGENLIJST!$H$255,Liquiditeit!N3*2-8,0)*VRAGENLIJST!$H$166,0))))))</f>
        <v>0</v>
      </c>
      <c r="O22" s="318">
        <f ca="1">IF(VRAGENLIJST!$H$170="",0,IF(OR(VRAGENLIJST!$H$170=dropdowns!$B$72,VRAGENLIJST!$H$170=dropdowns!$C$72,VRAGENLIJST!$H$170=dropdowns!$D$72,VRAGENLIJST!$H$170=dropdowns!$E$72),OFFSET(VRAGENLIJST!$H$255,(COLUMN(O21)-COLUMN($D$21))*2,0)*VRAGENLIJST!$H$166,IF(OR(VRAGENLIJST!$H$170=dropdowns!$B$73,VRAGENLIJST!$H$170=dropdowns!$C$73,VRAGENLIJST!$H$170=dropdowns!$D$73,VRAGENLIJST!$H$170=dropdowns!$E$73),OFFSET(VRAGENLIJST!$H$255,Liquiditeit!O3*2-4,0)*0.5*VRAGENLIJST!$H$166+(OFFSET(VRAGENLIJST!$H$255,(COLUMN(O21)-COLUMN($D$21))*2,0))*0.5*VRAGENLIJST!$H$166,IF(OR(VRAGENLIJST!$H$170=dropdowns!$B$74,VRAGENLIJST!$H$170=dropdowns!$C$74,VRAGENLIJST!$H$170=dropdowns!$D$74,VRAGENLIJST!$H$170=dropdowns!$E$74),OFFSET(VRAGENLIJST!$H$255,Liquiditeit!O3*2-4,0)*VRAGENLIJST!$H$166,IF(OR(VRAGENLIJST!$H$170=dropdowns!$B$75,VRAGENLIJST!$H$170=dropdowns!$C$75,VRAGENLIJST!$H$170=dropdowns!$D$75,VRAGENLIJST!$H$170=dropdowns!$E$75),OFFSET(VRAGENLIJST!$H$255,Liquiditeit!O3*2-6,0)*VRAGENLIJST!$H$166,IF(OR(VRAGENLIJST!$H$170=dropdowns!$B$76,VRAGENLIJST!$H$170=dropdowns!$C$76,VRAGENLIJST!$H$170=dropdowns!$D$76,VRAGENLIJST!$H$170=dropdowns!$E$76),OFFSET(VRAGENLIJST!$H$255,Liquiditeit!O3*2-8,0)*VRAGENLIJST!$H$166,0))))))</f>
        <v>0</v>
      </c>
      <c r="P22" s="320">
        <f ca="1">SUM(C22:O22)</f>
        <v>0</v>
      </c>
      <c r="Q22" s="318">
        <f ca="1">IF(VRAGENLIJST!$H$170="",0,IF(OR(VRAGENLIJST!$H$170=dropdowns!$B$72,VRAGENLIJST!$H$170=dropdowns!$C$72,VRAGENLIJST!$H$170=dropdowns!$D$72,VRAGENLIJST!$H$170=dropdowns!$E$72),OFFSET(VRAGENLIJST!$H$255,(COLUMN(Q21)-COLUMN($E$21))*2,0)*VRAGENLIJST!$H$166,IF(OR(VRAGENLIJST!$H$170=dropdowns!$B$73,VRAGENLIJST!$H$170=dropdowns!$C$73,VRAGENLIJST!$H$170=dropdowns!$D$73,VRAGENLIJST!$H$170=dropdowns!$E$73),OFFSET(VRAGENLIJST!$H$255,Liquiditeit!Q3*2-4,0)*0.5*VRAGENLIJST!$H$166+(OFFSET(VRAGENLIJST!$H$255,(COLUMN(Q21)-COLUMN($E$21))*2,0))*0.5*VRAGENLIJST!$H$166,IF(OR(VRAGENLIJST!$H$170=dropdowns!$B$74,VRAGENLIJST!$H$170=dropdowns!$C$74,VRAGENLIJST!$H$170=dropdowns!$D$74,VRAGENLIJST!$H$170=dropdowns!$E$74),OFFSET(VRAGENLIJST!$H$255,Liquiditeit!Q3*2-4,0)*VRAGENLIJST!$H$166,IF(OR(VRAGENLIJST!$H$170=dropdowns!$B$75,VRAGENLIJST!$H$170=dropdowns!$C$75,VRAGENLIJST!$H$170=dropdowns!$D$75,VRAGENLIJST!$H$170=dropdowns!$E$75),OFFSET(VRAGENLIJST!$H$255,Liquiditeit!Q3*2-6,0)*VRAGENLIJST!$H$166,IF(OR(VRAGENLIJST!$H$170=dropdowns!$B$76,VRAGENLIJST!$H$170=dropdowns!$C$76,VRAGENLIJST!$H$170=dropdowns!$D$76,VRAGENLIJST!$H$170=dropdowns!$E$76),OFFSET(VRAGENLIJST!$H$255,Liquiditeit!Q3*2-8,0)*VRAGENLIJST!$H$166,0))))))</f>
        <v>0</v>
      </c>
      <c r="R22" s="318">
        <f ca="1">IF(VRAGENLIJST!$H$170="",0,IF(OR(VRAGENLIJST!$H$170=dropdowns!$B$72,VRAGENLIJST!$H$170=dropdowns!$C$72,VRAGENLIJST!$H$170=dropdowns!$D$72,VRAGENLIJST!$H$170=dropdowns!$E$72),OFFSET(VRAGENLIJST!$H$255,(COLUMN(R21)-COLUMN($E$21))*2,0)*VRAGENLIJST!$H$166,IF(OR(VRAGENLIJST!$H$170=dropdowns!$B$73,VRAGENLIJST!$H$170=dropdowns!$C$73,VRAGENLIJST!$H$170=dropdowns!$D$73,VRAGENLIJST!$H$170=dropdowns!$E$73),OFFSET(VRAGENLIJST!$H$255,Liquiditeit!R3*2-4,0)*0.5*VRAGENLIJST!$H$166+(OFFSET(VRAGENLIJST!$H$255,(COLUMN(R21)-COLUMN($E$21))*2,0))*0.5*VRAGENLIJST!$H$166,IF(OR(VRAGENLIJST!$H$170=dropdowns!$B$74,VRAGENLIJST!$H$170=dropdowns!$C$74,VRAGENLIJST!$H$170=dropdowns!$D$74,VRAGENLIJST!$H$170=dropdowns!$E$74),OFFSET(VRAGENLIJST!$H$255,Liquiditeit!R3*2-4,0)*VRAGENLIJST!$H$166,IF(OR(VRAGENLIJST!$H$170=dropdowns!$B$75,VRAGENLIJST!$H$170=dropdowns!$C$75,VRAGENLIJST!$H$170=dropdowns!$D$75,VRAGENLIJST!$H$170=dropdowns!$E$75),OFFSET(VRAGENLIJST!$H$255,Liquiditeit!R3*2-6,0)*VRAGENLIJST!$H$166,IF(OR(VRAGENLIJST!$H$170=dropdowns!$B$76,VRAGENLIJST!$H$170=dropdowns!$C$76,VRAGENLIJST!$H$170=dropdowns!$D$76,VRAGENLIJST!$H$170=dropdowns!$E$76),OFFSET(VRAGENLIJST!$H$255,Liquiditeit!R3*2-8,0)*VRAGENLIJST!$H$166,0))))))</f>
        <v>0</v>
      </c>
      <c r="S22" s="318">
        <f ca="1">IF(VRAGENLIJST!$H$170="",0,IF(OR(VRAGENLIJST!$H$170=dropdowns!$B$72,VRAGENLIJST!$H$170=dropdowns!$C$72,VRAGENLIJST!$H$170=dropdowns!$D$72,VRAGENLIJST!$H$170=dropdowns!$E$72),OFFSET(VRAGENLIJST!$H$255,(COLUMN(S21)-COLUMN($E$21))*2,0)*VRAGENLIJST!$H$166,IF(OR(VRAGENLIJST!$H$170=dropdowns!$B$73,VRAGENLIJST!$H$170=dropdowns!$C$73,VRAGENLIJST!$H$170=dropdowns!$D$73,VRAGENLIJST!$H$170=dropdowns!$E$73),OFFSET(VRAGENLIJST!$H$255,Liquiditeit!S3*2-4,0)*0.5*VRAGENLIJST!$H$166+(OFFSET(VRAGENLIJST!$H$255,(COLUMN(S21)-COLUMN($E$21))*2,0))*0.5*VRAGENLIJST!$H$166,IF(OR(VRAGENLIJST!$H$170=dropdowns!$B$74,VRAGENLIJST!$H$170=dropdowns!$C$74,VRAGENLIJST!$H$170=dropdowns!$D$74,VRAGENLIJST!$H$170=dropdowns!$E$74),OFFSET(VRAGENLIJST!$H$255,Liquiditeit!S3*2-4,0)*VRAGENLIJST!$H$166,IF(OR(VRAGENLIJST!$H$170=dropdowns!$B$75,VRAGENLIJST!$H$170=dropdowns!$C$75,VRAGENLIJST!$H$170=dropdowns!$D$75,VRAGENLIJST!$H$170=dropdowns!$E$75),OFFSET(VRAGENLIJST!$H$255,Liquiditeit!S3*2-6,0)*VRAGENLIJST!$H$166,IF(OR(VRAGENLIJST!$H$170=dropdowns!$B$76,VRAGENLIJST!$H$170=dropdowns!$C$76,VRAGENLIJST!$H$170=dropdowns!$D$76,VRAGENLIJST!$H$170=dropdowns!$E$76),OFFSET(VRAGENLIJST!$H$255,Liquiditeit!S3*2-8,0)*VRAGENLIJST!$H$166,0))))))</f>
        <v>0</v>
      </c>
      <c r="T22" s="318">
        <f ca="1">IF(VRAGENLIJST!$H$170="",0,IF(OR(VRAGENLIJST!$H$170=dropdowns!$B$72,VRAGENLIJST!$H$170=dropdowns!$C$72,VRAGENLIJST!$H$170=dropdowns!$D$72,VRAGENLIJST!$H$170=dropdowns!$E$72),OFFSET(VRAGENLIJST!$H$255,(COLUMN(T21)-COLUMN($E$21))*2,0)*VRAGENLIJST!$H$166,IF(OR(VRAGENLIJST!$H$170=dropdowns!$B$73,VRAGENLIJST!$H$170=dropdowns!$C$73,VRAGENLIJST!$H$170=dropdowns!$D$73,VRAGENLIJST!$H$170=dropdowns!$E$73),OFFSET(VRAGENLIJST!$H$255,Liquiditeit!T3*2-4,0)*0.5*VRAGENLIJST!$H$166+(OFFSET(VRAGENLIJST!$H$255,(COLUMN(T21)-COLUMN($E$21))*2,0))*0.5*VRAGENLIJST!$H$166,IF(OR(VRAGENLIJST!$H$170=dropdowns!$B$74,VRAGENLIJST!$H$170=dropdowns!$C$74,VRAGENLIJST!$H$170=dropdowns!$D$74,VRAGENLIJST!$H$170=dropdowns!$E$74),OFFSET(VRAGENLIJST!$H$255,Liquiditeit!T3*2-4,0)*VRAGENLIJST!$H$166,IF(OR(VRAGENLIJST!$H$170=dropdowns!$B$75,VRAGENLIJST!$H$170=dropdowns!$C$75,VRAGENLIJST!$H$170=dropdowns!$D$75,VRAGENLIJST!$H$170=dropdowns!$E$75),OFFSET(VRAGENLIJST!$H$255,Liquiditeit!T3*2-6,0)*VRAGENLIJST!$H$166,IF(OR(VRAGENLIJST!$H$170=dropdowns!$B$76,VRAGENLIJST!$H$170=dropdowns!$C$76,VRAGENLIJST!$H$170=dropdowns!$D$76,VRAGENLIJST!$H$170=dropdowns!$E$76),OFFSET(VRAGENLIJST!$H$255,Liquiditeit!T3*2-8,0)*VRAGENLIJST!$H$166,0))))))</f>
        <v>0</v>
      </c>
      <c r="U22" s="318">
        <f ca="1">IF(VRAGENLIJST!$H$170="",0,IF(OR(VRAGENLIJST!$H$170=dropdowns!$B$72,VRAGENLIJST!$H$170=dropdowns!$C$72,VRAGENLIJST!$H$170=dropdowns!$D$72,VRAGENLIJST!$H$170=dropdowns!$E$72),OFFSET(VRAGENLIJST!$H$255,(COLUMN(U21)-COLUMN($E$21))*2,0)*VRAGENLIJST!$H$166,IF(OR(VRAGENLIJST!$H$170=dropdowns!$B$73,VRAGENLIJST!$H$170=dropdowns!$C$73,VRAGENLIJST!$H$170=dropdowns!$D$73,VRAGENLIJST!$H$170=dropdowns!$E$73),OFFSET(VRAGENLIJST!$H$255,Liquiditeit!U3*2-4,0)*0.5*VRAGENLIJST!$H$166+(OFFSET(VRAGENLIJST!$H$255,(COLUMN(U21)-COLUMN($E$21))*2,0))*0.5*VRAGENLIJST!$H$166,IF(OR(VRAGENLIJST!$H$170=dropdowns!$B$74,VRAGENLIJST!$H$170=dropdowns!$C$74,VRAGENLIJST!$H$170=dropdowns!$D$74,VRAGENLIJST!$H$170=dropdowns!$E$74),OFFSET(VRAGENLIJST!$H$255,Liquiditeit!U3*2-4,0)*VRAGENLIJST!$H$166,IF(OR(VRAGENLIJST!$H$170=dropdowns!$B$75,VRAGENLIJST!$H$170=dropdowns!$C$75,VRAGENLIJST!$H$170=dropdowns!$D$75,VRAGENLIJST!$H$170=dropdowns!$E$75),OFFSET(VRAGENLIJST!$H$255,Liquiditeit!U3*2-6,0)*VRAGENLIJST!$H$166,IF(OR(VRAGENLIJST!$H$170=dropdowns!$B$76,VRAGENLIJST!$H$170=dropdowns!$C$76,VRAGENLIJST!$H$170=dropdowns!$D$76,VRAGENLIJST!$H$170=dropdowns!$E$76),OFFSET(VRAGENLIJST!$H$255,Liquiditeit!U3*2-8,0)*VRAGENLIJST!$H$166,0))))))</f>
        <v>0</v>
      </c>
      <c r="V22" s="318">
        <f ca="1">IF(VRAGENLIJST!$H$170="",0,IF(OR(VRAGENLIJST!$H$170=dropdowns!$B$72,VRAGENLIJST!$H$170=dropdowns!$C$72,VRAGENLIJST!$H$170=dropdowns!$D$72,VRAGENLIJST!$H$170=dropdowns!$E$72),OFFSET(VRAGENLIJST!$H$255,(COLUMN(V21)-COLUMN($E$21))*2,0)*VRAGENLIJST!$H$166,IF(OR(VRAGENLIJST!$H$170=dropdowns!$B$73,VRAGENLIJST!$H$170=dropdowns!$C$73,VRAGENLIJST!$H$170=dropdowns!$D$73,VRAGENLIJST!$H$170=dropdowns!$E$73),OFFSET(VRAGENLIJST!$H$255,Liquiditeit!V3*2-4,0)*0.5*VRAGENLIJST!$H$166+(OFFSET(VRAGENLIJST!$H$255,(COLUMN(V21)-COLUMN($E$21))*2,0))*0.5*VRAGENLIJST!$H$166,IF(OR(VRAGENLIJST!$H$170=dropdowns!$B$74,VRAGENLIJST!$H$170=dropdowns!$C$74,VRAGENLIJST!$H$170=dropdowns!$D$74,VRAGENLIJST!$H$170=dropdowns!$E$74),OFFSET(VRAGENLIJST!$H$255,Liquiditeit!V3*2-4,0)*VRAGENLIJST!$H$166,IF(OR(VRAGENLIJST!$H$170=dropdowns!$B$75,VRAGENLIJST!$H$170=dropdowns!$C$75,VRAGENLIJST!$H$170=dropdowns!$D$75,VRAGENLIJST!$H$170=dropdowns!$E$75),OFFSET(VRAGENLIJST!$H$255,Liquiditeit!V3*2-6,0)*VRAGENLIJST!$H$166,IF(OR(VRAGENLIJST!$H$170=dropdowns!$B$76,VRAGENLIJST!$H$170=dropdowns!$C$76,VRAGENLIJST!$H$170=dropdowns!$D$76,VRAGENLIJST!$H$170=dropdowns!$E$76),OFFSET(VRAGENLIJST!$H$255,Liquiditeit!V3*2-8,0)*VRAGENLIJST!$H$166,0))))))</f>
        <v>0</v>
      </c>
      <c r="W22" s="318">
        <f ca="1">IF(VRAGENLIJST!$H$170="",0,IF(OR(VRAGENLIJST!$H$170=dropdowns!$B$72,VRAGENLIJST!$H$170=dropdowns!$C$72,VRAGENLIJST!$H$170=dropdowns!$D$72,VRAGENLIJST!$H$170=dropdowns!$E$72),OFFSET(VRAGENLIJST!$H$255,(COLUMN(W21)-COLUMN($E$21))*2,0)*VRAGENLIJST!$H$166,IF(OR(VRAGENLIJST!$H$170=dropdowns!$B$73,VRAGENLIJST!$H$170=dropdowns!$C$73,VRAGENLIJST!$H$170=dropdowns!$D$73,VRAGENLIJST!$H$170=dropdowns!$E$73),OFFSET(VRAGENLIJST!$H$255,Liquiditeit!W3*2-4,0)*0.5*VRAGENLIJST!$H$166+(OFFSET(VRAGENLIJST!$H$255,(COLUMN(W21)-COLUMN($E$21))*2,0))*0.5*VRAGENLIJST!$H$166,IF(OR(VRAGENLIJST!$H$170=dropdowns!$B$74,VRAGENLIJST!$H$170=dropdowns!$C$74,VRAGENLIJST!$H$170=dropdowns!$D$74,VRAGENLIJST!$H$170=dropdowns!$E$74),OFFSET(VRAGENLIJST!$H$255,Liquiditeit!W3*2-4,0)*VRAGENLIJST!$H$166,IF(OR(VRAGENLIJST!$H$170=dropdowns!$B$75,VRAGENLIJST!$H$170=dropdowns!$C$75,VRAGENLIJST!$H$170=dropdowns!$D$75,VRAGENLIJST!$H$170=dropdowns!$E$75),OFFSET(VRAGENLIJST!$H$255,Liquiditeit!W3*2-6,0)*VRAGENLIJST!$H$166,IF(OR(VRAGENLIJST!$H$170=dropdowns!$B$76,VRAGENLIJST!$H$170=dropdowns!$C$76,VRAGENLIJST!$H$170=dropdowns!$D$76,VRAGENLIJST!$H$170=dropdowns!$E$76),OFFSET(VRAGENLIJST!$H$255,Liquiditeit!W3*2-8,0)*VRAGENLIJST!$H$166,0))))))</f>
        <v>0</v>
      </c>
      <c r="X22" s="318">
        <f ca="1">IF(VRAGENLIJST!$H$170="",0,IF(OR(VRAGENLIJST!$H$170=dropdowns!$B$72,VRAGENLIJST!$H$170=dropdowns!$C$72,VRAGENLIJST!$H$170=dropdowns!$D$72,VRAGENLIJST!$H$170=dropdowns!$E$72),OFFSET(VRAGENLIJST!$H$255,(COLUMN(X21)-COLUMN($E$21))*2,0)*VRAGENLIJST!$H$166,IF(OR(VRAGENLIJST!$H$170=dropdowns!$B$73,VRAGENLIJST!$H$170=dropdowns!$C$73,VRAGENLIJST!$H$170=dropdowns!$D$73,VRAGENLIJST!$H$170=dropdowns!$E$73),OFFSET(VRAGENLIJST!$H$255,Liquiditeit!X3*2-4,0)*0.5*VRAGENLIJST!$H$166+(OFFSET(VRAGENLIJST!$H$255,(COLUMN(X21)-COLUMN($E$21))*2,0))*0.5*VRAGENLIJST!$H$166,IF(OR(VRAGENLIJST!$H$170=dropdowns!$B$74,VRAGENLIJST!$H$170=dropdowns!$C$74,VRAGENLIJST!$H$170=dropdowns!$D$74,VRAGENLIJST!$H$170=dropdowns!$E$74),OFFSET(VRAGENLIJST!$H$255,Liquiditeit!X3*2-4,0)*VRAGENLIJST!$H$166,IF(OR(VRAGENLIJST!$H$170=dropdowns!$B$75,VRAGENLIJST!$H$170=dropdowns!$C$75,VRAGENLIJST!$H$170=dropdowns!$D$75,VRAGENLIJST!$H$170=dropdowns!$E$75),OFFSET(VRAGENLIJST!$H$255,Liquiditeit!X3*2-6,0)*VRAGENLIJST!$H$166,IF(OR(VRAGENLIJST!$H$170=dropdowns!$B$76,VRAGENLIJST!$H$170=dropdowns!$C$76,VRAGENLIJST!$H$170=dropdowns!$D$76,VRAGENLIJST!$H$170=dropdowns!$E$76),OFFSET(VRAGENLIJST!$H$255,Liquiditeit!X3*2-8,0)*VRAGENLIJST!$H$166,0))))))</f>
        <v>0</v>
      </c>
      <c r="Y22" s="318">
        <f ca="1">IF(VRAGENLIJST!$H$170="",0,IF(OR(VRAGENLIJST!$H$170=dropdowns!$B$72,VRAGENLIJST!$H$170=dropdowns!$C$72,VRAGENLIJST!$H$170=dropdowns!$D$72,VRAGENLIJST!$H$170=dropdowns!$E$72),OFFSET(VRAGENLIJST!$H$255,(COLUMN(Y21)-COLUMN($E$21))*2,0)*VRAGENLIJST!$H$166,IF(OR(VRAGENLIJST!$H$170=dropdowns!$B$73,VRAGENLIJST!$H$170=dropdowns!$C$73,VRAGENLIJST!$H$170=dropdowns!$D$73,VRAGENLIJST!$H$170=dropdowns!$E$73),OFFSET(VRAGENLIJST!$H$255,Liquiditeit!Y3*2-4,0)*0.5*VRAGENLIJST!$H$166+(OFFSET(VRAGENLIJST!$H$255,(COLUMN(Y21)-COLUMN($E$21))*2,0))*0.5*VRAGENLIJST!$H$166,IF(OR(VRAGENLIJST!$H$170=dropdowns!$B$74,VRAGENLIJST!$H$170=dropdowns!$C$74,VRAGENLIJST!$H$170=dropdowns!$D$74,VRAGENLIJST!$H$170=dropdowns!$E$74),OFFSET(VRAGENLIJST!$H$255,Liquiditeit!Y3*2-4,0)*VRAGENLIJST!$H$166,IF(OR(VRAGENLIJST!$H$170=dropdowns!$B$75,VRAGENLIJST!$H$170=dropdowns!$C$75,VRAGENLIJST!$H$170=dropdowns!$D$75,VRAGENLIJST!$H$170=dropdowns!$E$75),OFFSET(VRAGENLIJST!$H$255,Liquiditeit!Y3*2-6,0)*VRAGENLIJST!$H$166,IF(OR(VRAGENLIJST!$H$170=dropdowns!$B$76,VRAGENLIJST!$H$170=dropdowns!$C$76,VRAGENLIJST!$H$170=dropdowns!$D$76,VRAGENLIJST!$H$170=dropdowns!$E$76),OFFSET(VRAGENLIJST!$H$255,Liquiditeit!Y3*2-8,0)*VRAGENLIJST!$H$166,0))))))</f>
        <v>0</v>
      </c>
      <c r="Z22" s="318">
        <f ca="1">IF(VRAGENLIJST!$H$170="",0,IF(OR(VRAGENLIJST!$H$170=dropdowns!$B$72,VRAGENLIJST!$H$170=dropdowns!$C$72,VRAGENLIJST!$H$170=dropdowns!$D$72,VRAGENLIJST!$H$170=dropdowns!$E$72),OFFSET(VRAGENLIJST!$H$255,(COLUMN(Z21)-COLUMN($E$21))*2,0)*VRAGENLIJST!$H$166,IF(OR(VRAGENLIJST!$H$170=dropdowns!$B$73,VRAGENLIJST!$H$170=dropdowns!$C$73,VRAGENLIJST!$H$170=dropdowns!$D$73,VRAGENLIJST!$H$170=dropdowns!$E$73),OFFSET(VRAGENLIJST!$H$255,Liquiditeit!Z3*2-4,0)*0.5*VRAGENLIJST!$H$166+(OFFSET(VRAGENLIJST!$H$255,(COLUMN(Z21)-COLUMN($E$21))*2,0))*0.5*VRAGENLIJST!$H$166,IF(OR(VRAGENLIJST!$H$170=dropdowns!$B$74,VRAGENLIJST!$H$170=dropdowns!$C$74,VRAGENLIJST!$H$170=dropdowns!$D$74,VRAGENLIJST!$H$170=dropdowns!$E$74),OFFSET(VRAGENLIJST!$H$255,Liquiditeit!Z3*2-4,0)*VRAGENLIJST!$H$166,IF(OR(VRAGENLIJST!$H$170=dropdowns!$B$75,VRAGENLIJST!$H$170=dropdowns!$C$75,VRAGENLIJST!$H$170=dropdowns!$D$75,VRAGENLIJST!$H$170=dropdowns!$E$75),OFFSET(VRAGENLIJST!$H$255,Liquiditeit!Z3*2-6,0)*VRAGENLIJST!$H$166,IF(OR(VRAGENLIJST!$H$170=dropdowns!$B$76,VRAGENLIJST!$H$170=dropdowns!$C$76,VRAGENLIJST!$H$170=dropdowns!$D$76,VRAGENLIJST!$H$170=dropdowns!$E$76),OFFSET(VRAGENLIJST!$H$255,Liquiditeit!Z3*2-8,0)*VRAGENLIJST!$H$166,0))))))</f>
        <v>0</v>
      </c>
      <c r="AA22" s="318">
        <f ca="1">IF(VRAGENLIJST!$H$170="",0,IF(OR(VRAGENLIJST!$H$170=dropdowns!$B$72,VRAGENLIJST!$H$170=dropdowns!$C$72,VRAGENLIJST!$H$170=dropdowns!$D$72,VRAGENLIJST!$H$170=dropdowns!$E$72),OFFSET(VRAGENLIJST!$H$255,(COLUMN(AA21)-COLUMN($E$21))*2,0)*VRAGENLIJST!$H$166,IF(OR(VRAGENLIJST!$H$170=dropdowns!$B$73,VRAGENLIJST!$H$170=dropdowns!$C$73,VRAGENLIJST!$H$170=dropdowns!$D$73,VRAGENLIJST!$H$170=dropdowns!$E$73),OFFSET(VRAGENLIJST!$H$255,Liquiditeit!AA3*2-4,0)*0.5*VRAGENLIJST!$H$166+(OFFSET(VRAGENLIJST!$H$255,(COLUMN(AA21)-COLUMN($E$21))*2,0))*0.5*VRAGENLIJST!$H$166,IF(OR(VRAGENLIJST!$H$170=dropdowns!$B$74,VRAGENLIJST!$H$170=dropdowns!$C$74,VRAGENLIJST!$H$170=dropdowns!$D$74,VRAGENLIJST!$H$170=dropdowns!$E$74),OFFSET(VRAGENLIJST!$H$255,Liquiditeit!AA3*2-4,0)*VRAGENLIJST!$H$166,IF(OR(VRAGENLIJST!$H$170=dropdowns!$B$75,VRAGENLIJST!$H$170=dropdowns!$C$75,VRAGENLIJST!$H$170=dropdowns!$D$75,VRAGENLIJST!$H$170=dropdowns!$E$75),OFFSET(VRAGENLIJST!$H$255,Liquiditeit!AA3*2-6,0)*VRAGENLIJST!$H$166,IF(OR(VRAGENLIJST!$H$170=dropdowns!$B$76,VRAGENLIJST!$H$170=dropdowns!$C$76,VRAGENLIJST!$H$170=dropdowns!$D$76,VRAGENLIJST!$H$170=dropdowns!$E$76),OFFSET(VRAGENLIJST!$H$255,Liquiditeit!AA3*2-8,0)*VRAGENLIJST!$H$166,0))))))</f>
        <v>0</v>
      </c>
      <c r="AB22" s="318">
        <f ca="1">IF(VRAGENLIJST!$H$170="",0,IF(OR(VRAGENLIJST!$H$170=dropdowns!$B$72,VRAGENLIJST!$H$170=dropdowns!$C$72,VRAGENLIJST!$H$170=dropdowns!$D$72,VRAGENLIJST!$H$170=dropdowns!$E$72),OFFSET(VRAGENLIJST!$H$255,(COLUMN(AB21)-COLUMN($E$21))*2,0)*VRAGENLIJST!$H$166,IF(OR(VRAGENLIJST!$H$170=dropdowns!$B$73,VRAGENLIJST!$H$170=dropdowns!$C$73,VRAGENLIJST!$H$170=dropdowns!$D$73,VRAGENLIJST!$H$170=dropdowns!$E$73),OFFSET(VRAGENLIJST!$H$255,Liquiditeit!AB3*2-4,0)*0.5*VRAGENLIJST!$H$166+(OFFSET(VRAGENLIJST!$H$255,(COLUMN(AB21)-COLUMN($E$21))*2,0))*0.5*VRAGENLIJST!$H$166,IF(OR(VRAGENLIJST!$H$170=dropdowns!$B$74,VRAGENLIJST!$H$170=dropdowns!$C$74,VRAGENLIJST!$H$170=dropdowns!$D$74,VRAGENLIJST!$H$170=dropdowns!$E$74),OFFSET(VRAGENLIJST!$H$255,Liquiditeit!AB3*2-4,0)*VRAGENLIJST!$H$166,IF(OR(VRAGENLIJST!$H$170=dropdowns!$B$75,VRAGENLIJST!$H$170=dropdowns!$C$75,VRAGENLIJST!$H$170=dropdowns!$D$75,VRAGENLIJST!$H$170=dropdowns!$E$75),OFFSET(VRAGENLIJST!$H$255,Liquiditeit!AB3*2-6,0)*VRAGENLIJST!$H$166,IF(OR(VRAGENLIJST!$H$170=dropdowns!$B$76,VRAGENLIJST!$H$170=dropdowns!$C$76,VRAGENLIJST!$H$170=dropdowns!$D$76,VRAGENLIJST!$H$170=dropdowns!$E$76),OFFSET(VRAGENLIJST!$H$255,Liquiditeit!AB3*2-8,0)*VRAGENLIJST!$H$166,0))))))</f>
        <v>0</v>
      </c>
      <c r="AC22" s="320">
        <f ca="1">SUM(P22:AB22)</f>
        <v>0</v>
      </c>
      <c r="AD22" s="318">
        <f ca="1">IF(VRAGENLIJST!$H$170="",0,IF(OR(VRAGENLIJST!$H$170=dropdowns!$B$72,VRAGENLIJST!$H$170=dropdowns!$C$72,VRAGENLIJST!$H$170=dropdowns!$D$72,VRAGENLIJST!$H$170=dropdowns!$E$72),OFFSET(VRAGENLIJST!$H$255,(COLUMN(AD21)-COLUMN($F$21))*2,0)*VRAGENLIJST!$H$166,IF(OR(VRAGENLIJST!$H$170=dropdowns!$B$73,VRAGENLIJST!$H$170=dropdowns!$C$73,VRAGENLIJST!$H$170=dropdowns!$D$73,VRAGENLIJST!$H$170=dropdowns!$E$73),OFFSET(VRAGENLIJST!$H$255,Liquiditeit!AD3*2-4,0)*0.5*VRAGENLIJST!$H$166+(OFFSET(VRAGENLIJST!$H$255,(COLUMN(AD21)-COLUMN($F$21))*2,0))*0.5*VRAGENLIJST!$H$166,IF(OR(VRAGENLIJST!$H$170=dropdowns!$B$74,VRAGENLIJST!$H$170=dropdowns!$C$74,VRAGENLIJST!$H$170=dropdowns!$D$74,VRAGENLIJST!$H$170=dropdowns!$E$74),OFFSET(VRAGENLIJST!$H$255,Liquiditeit!AD3*2-4,0)*VRAGENLIJST!$H$166,IF(OR(VRAGENLIJST!$H$170=dropdowns!$B$75,VRAGENLIJST!$H$170=dropdowns!$C$75,VRAGENLIJST!$H$170=dropdowns!$D$75,VRAGENLIJST!$H$170=dropdowns!$E$75),OFFSET(VRAGENLIJST!$H$255,Liquiditeit!AD3*2-6,0)*VRAGENLIJST!$H$166,IF(OR(VRAGENLIJST!$H$170=dropdowns!$B$76,VRAGENLIJST!$H$170=dropdowns!$C$76,VRAGENLIJST!$H$170=dropdowns!$D$76,VRAGENLIJST!$H$170=dropdowns!$E$76),OFFSET(VRAGENLIJST!$H$255,Liquiditeit!AD3*2-8,0)*VRAGENLIJST!$H$166,0))))))</f>
        <v>0</v>
      </c>
      <c r="AE22" s="318">
        <f ca="1">IF(VRAGENLIJST!$H$170="",0,IF(OR(VRAGENLIJST!$H$170=dropdowns!$B$72,VRAGENLIJST!$H$170=dropdowns!$C$72,VRAGENLIJST!$H$170=dropdowns!$D$72,VRAGENLIJST!$H$170=dropdowns!$E$72),OFFSET(VRAGENLIJST!$H$255,(COLUMN(AE21)-COLUMN($F$21))*2,0)*VRAGENLIJST!$H$166,IF(OR(VRAGENLIJST!$H$170=dropdowns!$B$73,VRAGENLIJST!$H$170=dropdowns!$C$73,VRAGENLIJST!$H$170=dropdowns!$D$73,VRAGENLIJST!$H$170=dropdowns!$E$73),OFFSET(VRAGENLIJST!$H$255,Liquiditeit!AE3*2-4,0)*0.5*VRAGENLIJST!$H$166+(OFFSET(VRAGENLIJST!$H$255,(COLUMN(AE21)-COLUMN($F$21))*2,0))*0.5*VRAGENLIJST!$H$166,IF(OR(VRAGENLIJST!$H$170=dropdowns!$B$74,VRAGENLIJST!$H$170=dropdowns!$C$74,VRAGENLIJST!$H$170=dropdowns!$D$74,VRAGENLIJST!$H$170=dropdowns!$E$74),OFFSET(VRAGENLIJST!$H$255,Liquiditeit!AE3*2-4,0)*VRAGENLIJST!$H$166,IF(OR(VRAGENLIJST!$H$170=dropdowns!$B$75,VRAGENLIJST!$H$170=dropdowns!$C$75,VRAGENLIJST!$H$170=dropdowns!$D$75,VRAGENLIJST!$H$170=dropdowns!$E$75),OFFSET(VRAGENLIJST!$H$255,Liquiditeit!AE3*2-6,0)*VRAGENLIJST!$H$166,IF(OR(VRAGENLIJST!$H$170=dropdowns!$B$76,VRAGENLIJST!$H$170=dropdowns!$C$76,VRAGENLIJST!$H$170=dropdowns!$D$76,VRAGENLIJST!$H$170=dropdowns!$E$76),OFFSET(VRAGENLIJST!$H$255,Liquiditeit!AE3*2-8,0)*VRAGENLIJST!$H$166,0))))))</f>
        <v>0</v>
      </c>
      <c r="AF22" s="318">
        <f ca="1">IF(VRAGENLIJST!$H$170="",0,IF(OR(VRAGENLIJST!$H$170=dropdowns!$B$72,VRAGENLIJST!$H$170=dropdowns!$C$72,VRAGENLIJST!$H$170=dropdowns!$D$72,VRAGENLIJST!$H$170=dropdowns!$E$72),OFFSET(VRAGENLIJST!$H$255,(COLUMN(AF21)-COLUMN($F$21))*2,0)*VRAGENLIJST!$H$166,IF(OR(VRAGENLIJST!$H$170=dropdowns!$B$73,VRAGENLIJST!$H$170=dropdowns!$C$73,VRAGENLIJST!$H$170=dropdowns!$D$73,VRAGENLIJST!$H$170=dropdowns!$E$73),OFFSET(VRAGENLIJST!$H$255,Liquiditeit!AF3*2-4,0)*0.5*VRAGENLIJST!$H$166+(OFFSET(VRAGENLIJST!$H$255,(COLUMN(AF21)-COLUMN($F$21))*2,0))*0.5*VRAGENLIJST!$H$166,IF(OR(VRAGENLIJST!$H$170=dropdowns!$B$74,VRAGENLIJST!$H$170=dropdowns!$C$74,VRAGENLIJST!$H$170=dropdowns!$D$74,VRAGENLIJST!$H$170=dropdowns!$E$74),OFFSET(VRAGENLIJST!$H$255,Liquiditeit!AF3*2-4,0)*VRAGENLIJST!$H$166,IF(OR(VRAGENLIJST!$H$170=dropdowns!$B$75,VRAGENLIJST!$H$170=dropdowns!$C$75,VRAGENLIJST!$H$170=dropdowns!$D$75,VRAGENLIJST!$H$170=dropdowns!$E$75),OFFSET(VRAGENLIJST!$H$255,Liquiditeit!AF3*2-6,0)*VRAGENLIJST!$H$166,IF(OR(VRAGENLIJST!$H$170=dropdowns!$B$76,VRAGENLIJST!$H$170=dropdowns!$C$76,VRAGENLIJST!$H$170=dropdowns!$D$76,VRAGENLIJST!$H$170=dropdowns!$E$76),OFFSET(VRAGENLIJST!$H$255,Liquiditeit!AF3*2-8,0)*VRAGENLIJST!$H$166,0))))))</f>
        <v>0</v>
      </c>
      <c r="AG22" s="318">
        <f ca="1">IF(VRAGENLIJST!$H$170="",0,IF(OR(VRAGENLIJST!$H$170=dropdowns!$B$72,VRAGENLIJST!$H$170=dropdowns!$C$72,VRAGENLIJST!$H$170=dropdowns!$D$72,VRAGENLIJST!$H$170=dropdowns!$E$72),OFFSET(VRAGENLIJST!$H$255,(COLUMN(AG21)-COLUMN($F$21))*2,0)*VRAGENLIJST!$H$166,IF(OR(VRAGENLIJST!$H$170=dropdowns!$B$73,VRAGENLIJST!$H$170=dropdowns!$C$73,VRAGENLIJST!$H$170=dropdowns!$D$73,VRAGENLIJST!$H$170=dropdowns!$E$73),OFFSET(VRAGENLIJST!$H$255,Liquiditeit!AG3*2-4,0)*0.5*VRAGENLIJST!$H$166+(OFFSET(VRAGENLIJST!$H$255,(COLUMN(AG21)-COLUMN($F$21))*2,0))*0.5*VRAGENLIJST!$H$166,IF(OR(VRAGENLIJST!$H$170=dropdowns!$B$74,VRAGENLIJST!$H$170=dropdowns!$C$74,VRAGENLIJST!$H$170=dropdowns!$D$74,VRAGENLIJST!$H$170=dropdowns!$E$74),OFFSET(VRAGENLIJST!$H$255,Liquiditeit!AG3*2-4,0)*VRAGENLIJST!$H$166,IF(OR(VRAGENLIJST!$H$170=dropdowns!$B$75,VRAGENLIJST!$H$170=dropdowns!$C$75,VRAGENLIJST!$H$170=dropdowns!$D$75,VRAGENLIJST!$H$170=dropdowns!$E$75),OFFSET(VRAGENLIJST!$H$255,Liquiditeit!AG3*2-6,0)*VRAGENLIJST!$H$166,IF(OR(VRAGENLIJST!$H$170=dropdowns!$B$76,VRAGENLIJST!$H$170=dropdowns!$C$76,VRAGENLIJST!$H$170=dropdowns!$D$76,VRAGENLIJST!$H$170=dropdowns!$E$76),OFFSET(VRAGENLIJST!$H$255,Liquiditeit!AG3*2-8,0)*VRAGENLIJST!$H$166,0))))))</f>
        <v>0</v>
      </c>
      <c r="AH22" s="318">
        <f ca="1">IF(VRAGENLIJST!$H$170="",0,IF(OR(VRAGENLIJST!$H$170=dropdowns!$B$72,VRAGENLIJST!$H$170=dropdowns!$C$72,VRAGENLIJST!$H$170=dropdowns!$D$72,VRAGENLIJST!$H$170=dropdowns!$E$72),OFFSET(VRAGENLIJST!$H$255,(COLUMN(AH21)-COLUMN($F$21))*2,0)*VRAGENLIJST!$H$166,IF(OR(VRAGENLIJST!$H$170=dropdowns!$B$73,VRAGENLIJST!$H$170=dropdowns!$C$73,VRAGENLIJST!$H$170=dropdowns!$D$73,VRAGENLIJST!$H$170=dropdowns!$E$73),OFFSET(VRAGENLIJST!$H$255,Liquiditeit!AH3*2-4,0)*0.5*VRAGENLIJST!$H$166+(OFFSET(VRAGENLIJST!$H$255,(COLUMN(AH21)-COLUMN($F$21))*2,0))*0.5*VRAGENLIJST!$H$166,IF(OR(VRAGENLIJST!$H$170=dropdowns!$B$74,VRAGENLIJST!$H$170=dropdowns!$C$74,VRAGENLIJST!$H$170=dropdowns!$D$74,VRAGENLIJST!$H$170=dropdowns!$E$74),OFFSET(VRAGENLIJST!$H$255,Liquiditeit!AH3*2-4,0)*VRAGENLIJST!$H$166,IF(OR(VRAGENLIJST!$H$170=dropdowns!$B$75,VRAGENLIJST!$H$170=dropdowns!$C$75,VRAGENLIJST!$H$170=dropdowns!$D$75,VRAGENLIJST!$H$170=dropdowns!$E$75),OFFSET(VRAGENLIJST!$H$255,Liquiditeit!AH3*2-6,0)*VRAGENLIJST!$H$166,IF(OR(VRAGENLIJST!$H$170=dropdowns!$B$76,VRAGENLIJST!$H$170=dropdowns!$C$76,VRAGENLIJST!$H$170=dropdowns!$D$76,VRAGENLIJST!$H$170=dropdowns!$E$76),OFFSET(VRAGENLIJST!$H$255,Liquiditeit!AH3*2-8,0)*VRAGENLIJST!$H$166,0))))))</f>
        <v>0</v>
      </c>
      <c r="AI22" s="318">
        <f ca="1">IF(VRAGENLIJST!$H$170="",0,IF(OR(VRAGENLIJST!$H$170=dropdowns!$B$72,VRAGENLIJST!$H$170=dropdowns!$C$72,VRAGENLIJST!$H$170=dropdowns!$D$72,VRAGENLIJST!$H$170=dropdowns!$E$72),OFFSET(VRAGENLIJST!$H$255,(COLUMN(AI21)-COLUMN($F$21))*2,0)*VRAGENLIJST!$H$166,IF(OR(VRAGENLIJST!$H$170=dropdowns!$B$73,VRAGENLIJST!$H$170=dropdowns!$C$73,VRAGENLIJST!$H$170=dropdowns!$D$73,VRAGENLIJST!$H$170=dropdowns!$E$73),OFFSET(VRAGENLIJST!$H$255,Liquiditeit!AI3*2-4,0)*0.5*VRAGENLIJST!$H$166+(OFFSET(VRAGENLIJST!$H$255,(COLUMN(AI21)-COLUMN($F$21))*2,0))*0.5*VRAGENLIJST!$H$166,IF(OR(VRAGENLIJST!$H$170=dropdowns!$B$74,VRAGENLIJST!$H$170=dropdowns!$C$74,VRAGENLIJST!$H$170=dropdowns!$D$74,VRAGENLIJST!$H$170=dropdowns!$E$74),OFFSET(VRAGENLIJST!$H$255,Liquiditeit!AI3*2-4,0)*VRAGENLIJST!$H$166,IF(OR(VRAGENLIJST!$H$170=dropdowns!$B$75,VRAGENLIJST!$H$170=dropdowns!$C$75,VRAGENLIJST!$H$170=dropdowns!$D$75,VRAGENLIJST!$H$170=dropdowns!$E$75),OFFSET(VRAGENLIJST!$H$255,Liquiditeit!AI3*2-6,0)*VRAGENLIJST!$H$166,IF(OR(VRAGENLIJST!$H$170=dropdowns!$B$76,VRAGENLIJST!$H$170=dropdowns!$C$76,VRAGENLIJST!$H$170=dropdowns!$D$76,VRAGENLIJST!$H$170=dropdowns!$E$76),OFFSET(VRAGENLIJST!$H$255,Liquiditeit!AI3*2-8,0)*VRAGENLIJST!$H$166,0))))))</f>
        <v>0</v>
      </c>
      <c r="AJ22" s="318">
        <f ca="1">IF(VRAGENLIJST!$H$170="",0,IF(OR(VRAGENLIJST!$H$170=dropdowns!$B$72,VRAGENLIJST!$H$170=dropdowns!$C$72,VRAGENLIJST!$H$170=dropdowns!$D$72,VRAGENLIJST!$H$170=dropdowns!$E$72),OFFSET(VRAGENLIJST!$H$255,(COLUMN(AJ21)-COLUMN($F$21))*2,0)*VRAGENLIJST!$H$166,IF(OR(VRAGENLIJST!$H$170=dropdowns!$B$73,VRAGENLIJST!$H$170=dropdowns!$C$73,VRAGENLIJST!$H$170=dropdowns!$D$73,VRAGENLIJST!$H$170=dropdowns!$E$73),OFFSET(VRAGENLIJST!$H$255,Liquiditeit!AJ3*2-4,0)*0.5*VRAGENLIJST!$H$166+(OFFSET(VRAGENLIJST!$H$255,(COLUMN(AJ21)-COLUMN($F$21))*2,0))*0.5*VRAGENLIJST!$H$166,IF(OR(VRAGENLIJST!$H$170=dropdowns!$B$74,VRAGENLIJST!$H$170=dropdowns!$C$74,VRAGENLIJST!$H$170=dropdowns!$D$74,VRAGENLIJST!$H$170=dropdowns!$E$74),OFFSET(VRAGENLIJST!$H$255,Liquiditeit!AJ3*2-4,0)*VRAGENLIJST!$H$166,IF(OR(VRAGENLIJST!$H$170=dropdowns!$B$75,VRAGENLIJST!$H$170=dropdowns!$C$75,VRAGENLIJST!$H$170=dropdowns!$D$75,VRAGENLIJST!$H$170=dropdowns!$E$75),OFFSET(VRAGENLIJST!$H$255,Liquiditeit!AJ3*2-6,0)*VRAGENLIJST!$H$166,IF(OR(VRAGENLIJST!$H$170=dropdowns!$B$76,VRAGENLIJST!$H$170=dropdowns!$C$76,VRAGENLIJST!$H$170=dropdowns!$D$76,VRAGENLIJST!$H$170=dropdowns!$E$76),OFFSET(VRAGENLIJST!$H$255,Liquiditeit!AJ3*2-8,0)*VRAGENLIJST!$H$166,0))))))</f>
        <v>0</v>
      </c>
      <c r="AK22" s="318">
        <f ca="1">IF(VRAGENLIJST!$H$170="",0,IF(OR(VRAGENLIJST!$H$170=dropdowns!$B$72,VRAGENLIJST!$H$170=dropdowns!$C$72,VRAGENLIJST!$H$170=dropdowns!$D$72,VRAGENLIJST!$H$170=dropdowns!$E$72),OFFSET(VRAGENLIJST!$H$255,(COLUMN(AK21)-COLUMN($F$21))*2,0)*VRAGENLIJST!$H$166,IF(OR(VRAGENLIJST!$H$170=dropdowns!$B$73,VRAGENLIJST!$H$170=dropdowns!$C$73,VRAGENLIJST!$H$170=dropdowns!$D$73,VRAGENLIJST!$H$170=dropdowns!$E$73),OFFSET(VRAGENLIJST!$H$255,Liquiditeit!AK3*2-4,0)*0.5*VRAGENLIJST!$H$166+(OFFSET(VRAGENLIJST!$H$255,(COLUMN(AK21)-COLUMN($F$21))*2,0))*0.5*VRAGENLIJST!$H$166,IF(OR(VRAGENLIJST!$H$170=dropdowns!$B$74,VRAGENLIJST!$H$170=dropdowns!$C$74,VRAGENLIJST!$H$170=dropdowns!$D$74,VRAGENLIJST!$H$170=dropdowns!$E$74),OFFSET(VRAGENLIJST!$H$255,Liquiditeit!AK3*2-4,0)*VRAGENLIJST!$H$166,IF(OR(VRAGENLIJST!$H$170=dropdowns!$B$75,VRAGENLIJST!$H$170=dropdowns!$C$75,VRAGENLIJST!$H$170=dropdowns!$D$75,VRAGENLIJST!$H$170=dropdowns!$E$75),OFFSET(VRAGENLIJST!$H$255,Liquiditeit!AK3*2-6,0)*VRAGENLIJST!$H$166,IF(OR(VRAGENLIJST!$H$170=dropdowns!$B$76,VRAGENLIJST!$H$170=dropdowns!$C$76,VRAGENLIJST!$H$170=dropdowns!$D$76,VRAGENLIJST!$H$170=dropdowns!$E$76),OFFSET(VRAGENLIJST!$H$255,Liquiditeit!AK3*2-8,0)*VRAGENLIJST!$H$166,0))))))</f>
        <v>0</v>
      </c>
      <c r="AL22" s="318">
        <f ca="1">IF(VRAGENLIJST!$H$170="",0,IF(OR(VRAGENLIJST!$H$170=dropdowns!$B$72,VRAGENLIJST!$H$170=dropdowns!$C$72,VRAGENLIJST!$H$170=dropdowns!$D$72,VRAGENLIJST!$H$170=dropdowns!$E$72),OFFSET(VRAGENLIJST!$H$255,(COLUMN(AL21)-COLUMN($F$21))*2,0)*VRAGENLIJST!$H$166,IF(OR(VRAGENLIJST!$H$170=dropdowns!$B$73,VRAGENLIJST!$H$170=dropdowns!$C$73,VRAGENLIJST!$H$170=dropdowns!$D$73,VRAGENLIJST!$H$170=dropdowns!$E$73),OFFSET(VRAGENLIJST!$H$255,Liquiditeit!AL3*2-4,0)*0.5*VRAGENLIJST!$H$166+(OFFSET(VRAGENLIJST!$H$255,(COLUMN(AL21)-COLUMN($F$21))*2,0))*0.5*VRAGENLIJST!$H$166,IF(OR(VRAGENLIJST!$H$170=dropdowns!$B$74,VRAGENLIJST!$H$170=dropdowns!$C$74,VRAGENLIJST!$H$170=dropdowns!$D$74,VRAGENLIJST!$H$170=dropdowns!$E$74),OFFSET(VRAGENLIJST!$H$255,Liquiditeit!AL3*2-4,0)*VRAGENLIJST!$H$166,IF(OR(VRAGENLIJST!$H$170=dropdowns!$B$75,VRAGENLIJST!$H$170=dropdowns!$C$75,VRAGENLIJST!$H$170=dropdowns!$D$75,VRAGENLIJST!$H$170=dropdowns!$E$75),OFFSET(VRAGENLIJST!$H$255,Liquiditeit!AL3*2-6,0)*VRAGENLIJST!$H$166,IF(OR(VRAGENLIJST!$H$170=dropdowns!$B$76,VRAGENLIJST!$H$170=dropdowns!$C$76,VRAGENLIJST!$H$170=dropdowns!$D$76,VRAGENLIJST!$H$170=dropdowns!$E$76),OFFSET(VRAGENLIJST!$H$255,Liquiditeit!AL3*2-8,0)*VRAGENLIJST!$H$166,0))))))</f>
        <v>0</v>
      </c>
      <c r="AM22" s="318">
        <f ca="1">IF(VRAGENLIJST!$H$170="",0,IF(OR(VRAGENLIJST!$H$170=dropdowns!$B$72,VRAGENLIJST!$H$170=dropdowns!$C$72,VRAGENLIJST!$H$170=dropdowns!$D$72,VRAGENLIJST!$H$170=dropdowns!$E$72),OFFSET(VRAGENLIJST!$H$255,(COLUMN(AM21)-COLUMN($F$21))*2,0)*VRAGENLIJST!$H$166,IF(OR(VRAGENLIJST!$H$170=dropdowns!$B$73,VRAGENLIJST!$H$170=dropdowns!$C$73,VRAGENLIJST!$H$170=dropdowns!$D$73,VRAGENLIJST!$H$170=dropdowns!$E$73),OFFSET(VRAGENLIJST!$H$255,Liquiditeit!AM3*2-4,0)*0.5*VRAGENLIJST!$H$166+(OFFSET(VRAGENLIJST!$H$255,(COLUMN(AM21)-COLUMN($F$21))*2,0))*0.5*VRAGENLIJST!$H$166,IF(OR(VRAGENLIJST!$H$170=dropdowns!$B$74,VRAGENLIJST!$H$170=dropdowns!$C$74,VRAGENLIJST!$H$170=dropdowns!$D$74,VRAGENLIJST!$H$170=dropdowns!$E$74),OFFSET(VRAGENLIJST!$H$255,Liquiditeit!AM3*2-4,0)*VRAGENLIJST!$H$166,IF(OR(VRAGENLIJST!$H$170=dropdowns!$B$75,VRAGENLIJST!$H$170=dropdowns!$C$75,VRAGENLIJST!$H$170=dropdowns!$D$75,VRAGENLIJST!$H$170=dropdowns!$E$75),OFFSET(VRAGENLIJST!$H$255,Liquiditeit!AM3*2-6,0)*VRAGENLIJST!$H$166,IF(OR(VRAGENLIJST!$H$170=dropdowns!$B$76,VRAGENLIJST!$H$170=dropdowns!$C$76,VRAGENLIJST!$H$170=dropdowns!$D$76,VRAGENLIJST!$H$170=dropdowns!$E$76),OFFSET(VRAGENLIJST!$H$255,Liquiditeit!AM3*2-8,0)*VRAGENLIJST!$H$166,0))))))</f>
        <v>0</v>
      </c>
      <c r="AN22" s="318">
        <f ca="1">IF(VRAGENLIJST!$H$170="",0,IF(OR(VRAGENLIJST!$H$170=dropdowns!$B$72,VRAGENLIJST!$H$170=dropdowns!$C$72,VRAGENLIJST!$H$170=dropdowns!$D$72,VRAGENLIJST!$H$170=dropdowns!$E$72),OFFSET(VRAGENLIJST!$H$255,(COLUMN(AN21)-COLUMN($F$21))*2,0)*VRAGENLIJST!$H$166,IF(OR(VRAGENLIJST!$H$170=dropdowns!$B$73,VRAGENLIJST!$H$170=dropdowns!$C$73,VRAGENLIJST!$H$170=dropdowns!$D$73,VRAGENLIJST!$H$170=dropdowns!$E$73),OFFSET(VRAGENLIJST!$H$255,Liquiditeit!AN3*2-4,0)*0.5*VRAGENLIJST!$H$166+(OFFSET(VRAGENLIJST!$H$255,(COLUMN(AN21)-COLUMN($F$21))*2,0))*0.5*VRAGENLIJST!$H$166,IF(OR(VRAGENLIJST!$H$170=dropdowns!$B$74,VRAGENLIJST!$H$170=dropdowns!$C$74,VRAGENLIJST!$H$170=dropdowns!$D$74,VRAGENLIJST!$H$170=dropdowns!$E$74),OFFSET(VRAGENLIJST!$H$255,Liquiditeit!AN3*2-4,0)*VRAGENLIJST!$H$166,IF(OR(VRAGENLIJST!$H$170=dropdowns!$B$75,VRAGENLIJST!$H$170=dropdowns!$C$75,VRAGENLIJST!$H$170=dropdowns!$D$75,VRAGENLIJST!$H$170=dropdowns!$E$75),OFFSET(VRAGENLIJST!$H$255,Liquiditeit!AN3*2-6,0)*VRAGENLIJST!$H$166,IF(OR(VRAGENLIJST!$H$170=dropdowns!$B$76,VRAGENLIJST!$H$170=dropdowns!$C$76,VRAGENLIJST!$H$170=dropdowns!$D$76,VRAGENLIJST!$H$170=dropdowns!$E$76),OFFSET(VRAGENLIJST!$H$255,Liquiditeit!AN3*2-8,0)*VRAGENLIJST!$H$166,0))))))</f>
        <v>0</v>
      </c>
      <c r="AO22" s="318">
        <f ca="1">IF(VRAGENLIJST!$H$170="",0,IF(OR(VRAGENLIJST!$H$170=dropdowns!$B$72,VRAGENLIJST!$H$170=dropdowns!$C$72,VRAGENLIJST!$H$170=dropdowns!$D$72,VRAGENLIJST!$H$170=dropdowns!$E$72),OFFSET(VRAGENLIJST!$H$255,(COLUMN(AO21)-COLUMN($F$21))*2,0)*VRAGENLIJST!$H$166,IF(OR(VRAGENLIJST!$H$170=dropdowns!$B$73,VRAGENLIJST!$H$170=dropdowns!$C$73,VRAGENLIJST!$H$170=dropdowns!$D$73,VRAGENLIJST!$H$170=dropdowns!$E$73),OFFSET(VRAGENLIJST!$H$255,Liquiditeit!AO3*2-4,0)*0.5*VRAGENLIJST!$H$166+(OFFSET(VRAGENLIJST!$H$255,(COLUMN(AO21)-COLUMN($F$21))*2,0))*0.5*VRAGENLIJST!$H$166,IF(OR(VRAGENLIJST!$H$170=dropdowns!$B$74,VRAGENLIJST!$H$170=dropdowns!$C$74,VRAGENLIJST!$H$170=dropdowns!$D$74,VRAGENLIJST!$H$170=dropdowns!$E$74),OFFSET(VRAGENLIJST!$H$255,Liquiditeit!AO3*2-4,0)*VRAGENLIJST!$H$166,IF(OR(VRAGENLIJST!$H$170=dropdowns!$B$75,VRAGENLIJST!$H$170=dropdowns!$C$75,VRAGENLIJST!$H$170=dropdowns!$D$75,VRAGENLIJST!$H$170=dropdowns!$E$75),OFFSET(VRAGENLIJST!$H$255,Liquiditeit!AO3*2-6,0)*VRAGENLIJST!$H$166,IF(OR(VRAGENLIJST!$H$170=dropdowns!$B$76,VRAGENLIJST!$H$170=dropdowns!$C$76,VRAGENLIJST!$H$170=dropdowns!$D$76,VRAGENLIJST!$H$170=dropdowns!$E$76),OFFSET(VRAGENLIJST!$H$255,Liquiditeit!AO3*2-8,0)*VRAGENLIJST!$H$166,0))))))</f>
        <v>0</v>
      </c>
      <c r="AP22" s="320">
        <f ca="1">SUM(AC22:AO22)</f>
        <v>0</v>
      </c>
    </row>
    <row r="23" spans="2:42" ht="14.25" customHeight="1" x14ac:dyDescent="0.25">
      <c r="B23" s="317" t="str">
        <f>Vertaling!A283</f>
        <v xml:space="preserve"> Btw inkoop</v>
      </c>
      <c r="C23" s="319"/>
      <c r="D23" s="318">
        <f>(D20*VRAGENLIJST!$D$168)+(D21*VRAGENLIJST!$F$168)+(D22*VRAGENLIJST!$H$168)</f>
        <v>0</v>
      </c>
      <c r="E23" s="318">
        <f ca="1">(E20*VRAGENLIJST!$D$168)+(E21*VRAGENLIJST!$F$168)+(E22*VRAGENLIJST!$H$168)</f>
        <v>0</v>
      </c>
      <c r="F23" s="318">
        <f ca="1">(F20*VRAGENLIJST!$D$168)+(F21*VRAGENLIJST!$F$168)+(F22*VRAGENLIJST!$H$168)</f>
        <v>0</v>
      </c>
      <c r="G23" s="318">
        <f ca="1">(G20*VRAGENLIJST!$D$168)+(G21*VRAGENLIJST!$F$168)+(G22*VRAGENLIJST!$H$168)</f>
        <v>0</v>
      </c>
      <c r="H23" s="318">
        <f ca="1">(H20*VRAGENLIJST!$D$168)+(H21*VRAGENLIJST!$F$168)+(H22*VRAGENLIJST!$H$168)</f>
        <v>0</v>
      </c>
      <c r="I23" s="318">
        <f ca="1">(I20*VRAGENLIJST!$D$168)+(I21*VRAGENLIJST!$F$168)+(I22*VRAGENLIJST!$H$168)</f>
        <v>0</v>
      </c>
      <c r="J23" s="318">
        <f ca="1">(J20*VRAGENLIJST!$D$168)+(J21*VRAGENLIJST!$F$168)+(J22*VRAGENLIJST!$H$168)</f>
        <v>0</v>
      </c>
      <c r="K23" s="318">
        <f ca="1">(K20*VRAGENLIJST!$D$168)+(K21*VRAGENLIJST!$F$168)+(K22*VRAGENLIJST!$H$168)</f>
        <v>0</v>
      </c>
      <c r="L23" s="318">
        <f ca="1">(L20*VRAGENLIJST!$D$168)+(L21*VRAGENLIJST!$F$168)+(L22*VRAGENLIJST!$H$168)</f>
        <v>0</v>
      </c>
      <c r="M23" s="318">
        <f ca="1">(M20*VRAGENLIJST!$D$168)+(M21*VRAGENLIJST!$F$168)+(M22*VRAGENLIJST!$H$168)</f>
        <v>0</v>
      </c>
      <c r="N23" s="318">
        <f ca="1">(N20*VRAGENLIJST!$D$168)+(N21*VRAGENLIJST!$F$168)+(N22*VRAGENLIJST!$H$168)</f>
        <v>0</v>
      </c>
      <c r="O23" s="318">
        <f ca="1">(O20*VRAGENLIJST!$D$168)+(O21*VRAGENLIJST!$F$168)+(O22*VRAGENLIJST!$H$168)</f>
        <v>0</v>
      </c>
      <c r="P23" s="320">
        <f ca="1">SUM(C23:O23)</f>
        <v>0</v>
      </c>
      <c r="Q23" s="318">
        <f ca="1">(Q20*VRAGENLIJST!$D$168)+(Q21*VRAGENLIJST!$F$168)+(Q22*VRAGENLIJST!$H$168)</f>
        <v>0</v>
      </c>
      <c r="R23" s="318">
        <f ca="1">(R20*VRAGENLIJST!$D$168)+(R21*VRAGENLIJST!$F$168)+(R22*VRAGENLIJST!$H$168)</f>
        <v>0</v>
      </c>
      <c r="S23" s="318">
        <f ca="1">(S20*VRAGENLIJST!$D$168)+(S21*VRAGENLIJST!$F$168)+(S22*VRAGENLIJST!$H$168)</f>
        <v>0</v>
      </c>
      <c r="T23" s="318">
        <f ca="1">(T20*VRAGENLIJST!$D$168)+(T21*VRAGENLIJST!$F$168)+(T22*VRAGENLIJST!$H$168)</f>
        <v>0</v>
      </c>
      <c r="U23" s="318">
        <f ca="1">(U20*VRAGENLIJST!$D$168)+(U21*VRAGENLIJST!$F$168)+(U22*VRAGENLIJST!$H$168)</f>
        <v>0</v>
      </c>
      <c r="V23" s="318">
        <f ca="1">(V20*VRAGENLIJST!$D$168)+(V21*VRAGENLIJST!$F$168)+(V22*VRAGENLIJST!$H$168)</f>
        <v>0</v>
      </c>
      <c r="W23" s="318">
        <f ca="1">(W20*VRAGENLIJST!$D$168)+(W21*VRAGENLIJST!$F$168)+(W22*VRAGENLIJST!$H$168)</f>
        <v>0</v>
      </c>
      <c r="X23" s="318">
        <f ca="1">(X20*VRAGENLIJST!$D$168)+(X21*VRAGENLIJST!$F$168)+(X22*VRAGENLIJST!$H$168)</f>
        <v>0</v>
      </c>
      <c r="Y23" s="318">
        <f ca="1">(Y20*VRAGENLIJST!$D$168)+(Y21*VRAGENLIJST!$F$168)+(Y22*VRAGENLIJST!$H$168)</f>
        <v>0</v>
      </c>
      <c r="Z23" s="318">
        <f ca="1">(Z20*VRAGENLIJST!$D$168)+(Z21*VRAGENLIJST!$F$168)+(Z22*VRAGENLIJST!$H$168)</f>
        <v>0</v>
      </c>
      <c r="AA23" s="318">
        <f ca="1">(AA20*VRAGENLIJST!$D$168)+(AA21*VRAGENLIJST!$F$168)+(AA22*VRAGENLIJST!$H$168)</f>
        <v>0</v>
      </c>
      <c r="AB23" s="318">
        <f ca="1">(AB20*VRAGENLIJST!$D$168)+(AB21*VRAGENLIJST!$F$168)+(AB22*VRAGENLIJST!$H$168)</f>
        <v>0</v>
      </c>
      <c r="AC23" s="320">
        <f ca="1">SUM(P23:AB23)</f>
        <v>0</v>
      </c>
      <c r="AD23" s="318">
        <f ca="1">(AD20*VRAGENLIJST!$D$168)+(AD21*VRAGENLIJST!$F$168)+(AD22*VRAGENLIJST!$H$168)</f>
        <v>0</v>
      </c>
      <c r="AE23" s="318">
        <f ca="1">(AE20*VRAGENLIJST!$D$168)+(AE21*VRAGENLIJST!$F$168)+(AE22*VRAGENLIJST!$H$168)</f>
        <v>0</v>
      </c>
      <c r="AF23" s="318">
        <f ca="1">(AF20*VRAGENLIJST!$D$168)+(AF21*VRAGENLIJST!$F$168)+(AF22*VRAGENLIJST!$H$168)</f>
        <v>0</v>
      </c>
      <c r="AG23" s="318">
        <f ca="1">(AG20*VRAGENLIJST!$D$168)+(AG21*VRAGENLIJST!$F$168)+(AG22*VRAGENLIJST!$H$168)</f>
        <v>0</v>
      </c>
      <c r="AH23" s="318">
        <f ca="1">(AH20*VRAGENLIJST!$D$168)+(AH21*VRAGENLIJST!$F$168)+(AH22*VRAGENLIJST!$H$168)</f>
        <v>0</v>
      </c>
      <c r="AI23" s="318">
        <f ca="1">(AI20*VRAGENLIJST!$D$168)+(AI21*VRAGENLIJST!$F$168)+(AI22*VRAGENLIJST!$H$168)</f>
        <v>0</v>
      </c>
      <c r="AJ23" s="318">
        <f ca="1">(AJ20*VRAGENLIJST!$D$168)+(AJ21*VRAGENLIJST!$F$168)+(AJ22*VRAGENLIJST!$H$168)</f>
        <v>0</v>
      </c>
      <c r="AK23" s="318">
        <f ca="1">(AK20*VRAGENLIJST!$D$168)+(AK21*VRAGENLIJST!$F$168)+(AK22*VRAGENLIJST!$H$168)</f>
        <v>0</v>
      </c>
      <c r="AL23" s="318">
        <f ca="1">(AL20*VRAGENLIJST!$D$168)+(AL21*VRAGENLIJST!$F$168)+(AL22*VRAGENLIJST!$H$168)</f>
        <v>0</v>
      </c>
      <c r="AM23" s="318">
        <f ca="1">(AM20*VRAGENLIJST!$D$168)+(AM21*VRAGENLIJST!$F$168)+(AM22*VRAGENLIJST!$H$168)</f>
        <v>0</v>
      </c>
      <c r="AN23" s="318">
        <f ca="1">(AN20*VRAGENLIJST!$D$168)+(AN21*VRAGENLIJST!$F$168)+(AN22*VRAGENLIJST!$H$168)</f>
        <v>0</v>
      </c>
      <c r="AO23" s="318">
        <f ca="1">(AO20*VRAGENLIJST!$D$168)+(AO21*VRAGENLIJST!$F$168)+(AO22*VRAGENLIJST!$H$168)</f>
        <v>0</v>
      </c>
      <c r="AP23" s="320">
        <f ca="1">SUM(AC23:AO23)</f>
        <v>0</v>
      </c>
    </row>
    <row r="24" spans="2:42" ht="14.25" customHeight="1" x14ac:dyDescent="0.25">
      <c r="B24" s="317" t="str">
        <f>Vertaling!A284</f>
        <v xml:space="preserve"> Personeelskosten</v>
      </c>
      <c r="C24" s="319"/>
      <c r="D24" s="318">
        <f>IF(D3&gt;=IF(VRAGENLIJST!$H$141="",0,IFERROR(VLOOKUP(VRAGENLIJST!$H$141,dropdowns!$B$32:$F$69,5,FALSE),(VLOOKUP(VRAGENLIJST!$H$141,dropdowns!$C$32:$F$69,4,FALSE)))),VRAGENLIJST!$H$139,0)</f>
        <v>0</v>
      </c>
      <c r="E24" s="318">
        <f>IF(E3&gt;=IF(VRAGENLIJST!$H$141="",0,IFERROR(VLOOKUP(VRAGENLIJST!$H$141,dropdowns!$B$32:$F$69,5,FALSE),(VLOOKUP(VRAGENLIJST!$H$141,dropdowns!$C$32:$F$69,4,FALSE)))),VRAGENLIJST!$H$139,0)</f>
        <v>0</v>
      </c>
      <c r="F24" s="318">
        <f>IF(F3&gt;=IF(VRAGENLIJST!$H$141="",0,IFERROR(VLOOKUP(VRAGENLIJST!$H$141,dropdowns!$B$32:$F$69,5,FALSE),(VLOOKUP(VRAGENLIJST!$H$141,dropdowns!$C$32:$F$69,4,FALSE)))),VRAGENLIJST!$H$139,0)</f>
        <v>0</v>
      </c>
      <c r="G24" s="318">
        <f>IF(G3&gt;=IF(VRAGENLIJST!$H$141="",0,IFERROR(VLOOKUP(VRAGENLIJST!$H$141,dropdowns!$B$32:$F$69,5,FALSE),(VLOOKUP(VRAGENLIJST!$H$141,dropdowns!$C$32:$F$69,4,FALSE)))),VRAGENLIJST!$H$139,0)</f>
        <v>0</v>
      </c>
      <c r="H24" s="318">
        <f>IF(H3&gt;=IF(VRAGENLIJST!$H$141="",0,IFERROR(VLOOKUP(VRAGENLIJST!$H$141,dropdowns!$B$32:$F$69,5,FALSE),(VLOOKUP(VRAGENLIJST!$H$141,dropdowns!$C$32:$F$69,4,FALSE)))),VRAGENLIJST!$H$139,0)</f>
        <v>0</v>
      </c>
      <c r="I24" s="318">
        <f>IF(I3&gt;=IF(VRAGENLIJST!$H$141="",0,IFERROR(VLOOKUP(VRAGENLIJST!$H$141,dropdowns!$B$32:$F$69,5,FALSE),(VLOOKUP(VRAGENLIJST!$H$141,dropdowns!$C$32:$F$69,4,FALSE)))),VRAGENLIJST!$H$139,0)</f>
        <v>0</v>
      </c>
      <c r="J24" s="318">
        <f>IF(J3&gt;=IF(VRAGENLIJST!$H$141="",0,IFERROR(VLOOKUP(VRAGENLIJST!$H$141,dropdowns!$B$32:$F$69,5,FALSE),(VLOOKUP(VRAGENLIJST!$H$141,dropdowns!$C$32:$F$69,4,FALSE)))),VRAGENLIJST!$H$139,0)</f>
        <v>0</v>
      </c>
      <c r="K24" s="318">
        <f>IF(K3&gt;=IF(VRAGENLIJST!$H$141="",0,IFERROR(VLOOKUP(VRAGENLIJST!$H$141,dropdowns!$B$32:$F$69,5,FALSE),(VLOOKUP(VRAGENLIJST!$H$141,dropdowns!$C$32:$F$69,4,FALSE)))),VRAGENLIJST!$H$139,0)</f>
        <v>0</v>
      </c>
      <c r="L24" s="318">
        <f>IF(L3&gt;=IF(VRAGENLIJST!$H$141="",0,IFERROR(VLOOKUP(VRAGENLIJST!$H$141,dropdowns!$B$32:$F$69,5,FALSE),(VLOOKUP(VRAGENLIJST!$H$141,dropdowns!$C$32:$F$69,4,FALSE)))),VRAGENLIJST!$H$139,0)</f>
        <v>0</v>
      </c>
      <c r="M24" s="318">
        <f>IF(M3&gt;=IF(VRAGENLIJST!$H$141="",0,IFERROR(VLOOKUP(VRAGENLIJST!$H$141,dropdowns!$B$32:$F$69,5,FALSE),(VLOOKUP(VRAGENLIJST!$H$141,dropdowns!$C$32:$F$69,4,FALSE)))),VRAGENLIJST!$H$139,0)</f>
        <v>0</v>
      </c>
      <c r="N24" s="318">
        <f>IF(N3&gt;=IF(VRAGENLIJST!$H$141="",0,IFERROR(VLOOKUP(VRAGENLIJST!$H$141,dropdowns!$B$32:$F$69,5,FALSE),(VLOOKUP(VRAGENLIJST!$H$141,dropdowns!$C$32:$F$69,4,FALSE)))),VRAGENLIJST!$H$139,0)</f>
        <v>0</v>
      </c>
      <c r="O24" s="318">
        <f>IF(O3&gt;=IF(VRAGENLIJST!$H$141="",0,IFERROR(VLOOKUP(VRAGENLIJST!$H$141,dropdowns!$B$32:$F$69,5,FALSE),(VLOOKUP(VRAGENLIJST!$H$141,dropdowns!$C$32:$F$69,4,FALSE)))),VRAGENLIJST!$H$139,0)</f>
        <v>0</v>
      </c>
      <c r="P24" s="320">
        <f>SUM(D24:O24)</f>
        <v>0</v>
      </c>
      <c r="Q24" s="318">
        <f>IF(Q3&gt;=IF(VRAGENLIJST!$H$141="",0,IFERROR(VLOOKUP(VRAGENLIJST!$H$141,dropdowns!$B$32:$F$69,5,FALSE),(VLOOKUP(VRAGENLIJST!$H$141,dropdowns!$C$32:$F$69,4,FALSE)))),VRAGENLIJST!$H$139,0)</f>
        <v>0</v>
      </c>
      <c r="R24" s="318">
        <f>IF(R3&gt;=IF(VRAGENLIJST!$H$141="",0,IFERROR(VLOOKUP(VRAGENLIJST!$H$141,dropdowns!$B$32:$F$69,5,FALSE),(VLOOKUP(VRAGENLIJST!$H$141,dropdowns!$C$32:$F$69,4,FALSE)))),VRAGENLIJST!$H$139,0)</f>
        <v>0</v>
      </c>
      <c r="S24" s="318">
        <f>IF(S3&gt;=IF(VRAGENLIJST!$H$141="",0,IFERROR(VLOOKUP(VRAGENLIJST!$H$141,dropdowns!$B$32:$F$69,5,FALSE),(VLOOKUP(VRAGENLIJST!$H$141,dropdowns!$C$32:$F$69,4,FALSE)))),VRAGENLIJST!$H$139,0)</f>
        <v>0</v>
      </c>
      <c r="T24" s="318">
        <f>IF(T3&gt;=IF(VRAGENLIJST!$H$141="",0,IFERROR(VLOOKUP(VRAGENLIJST!$H$141,dropdowns!$B$32:$F$69,5,FALSE),(VLOOKUP(VRAGENLIJST!$H$141,dropdowns!$C$32:$F$69,4,FALSE)))),VRAGENLIJST!$H$139,0)</f>
        <v>0</v>
      </c>
      <c r="U24" s="318">
        <f>IF(U3&gt;=IF(VRAGENLIJST!$H$141="",0,IFERROR(VLOOKUP(VRAGENLIJST!$H$141,dropdowns!$B$32:$F$69,5,FALSE),(VLOOKUP(VRAGENLIJST!$H$141,dropdowns!$C$32:$F$69,4,FALSE)))),VRAGENLIJST!$H$139,0)</f>
        <v>0</v>
      </c>
      <c r="V24" s="318">
        <f>IF(V3&gt;=IF(VRAGENLIJST!$H$141="",0,IFERROR(VLOOKUP(VRAGENLIJST!$H$141,dropdowns!$B$32:$F$69,5,FALSE),(VLOOKUP(VRAGENLIJST!$H$141,dropdowns!$C$32:$F$69,4,FALSE)))),VRAGENLIJST!$H$139,0)</f>
        <v>0</v>
      </c>
      <c r="W24" s="318">
        <f>IF(W3&gt;=IF(VRAGENLIJST!$H$141="",0,IFERROR(VLOOKUP(VRAGENLIJST!$H$141,dropdowns!$B$32:$F$69,5,FALSE),(VLOOKUP(VRAGENLIJST!$H$141,dropdowns!$C$32:$F$69,4,FALSE)))),VRAGENLIJST!$H$139,0)</f>
        <v>0</v>
      </c>
      <c r="X24" s="318">
        <f>IF(X3&gt;=IF(VRAGENLIJST!$H$141="",0,IFERROR(VLOOKUP(VRAGENLIJST!$H$141,dropdowns!$B$32:$F$69,5,FALSE),(VLOOKUP(VRAGENLIJST!$H$141,dropdowns!$C$32:$F$69,4,FALSE)))),VRAGENLIJST!$H$139,0)</f>
        <v>0</v>
      </c>
      <c r="Y24" s="318">
        <f>IF(Y3&gt;=IF(VRAGENLIJST!$H$141="",0,IFERROR(VLOOKUP(VRAGENLIJST!$H$141,dropdowns!$B$32:$F$69,5,FALSE),(VLOOKUP(VRAGENLIJST!$H$141,dropdowns!$C$32:$F$69,4,FALSE)))),VRAGENLIJST!$H$139,0)</f>
        <v>0</v>
      </c>
      <c r="Z24" s="318">
        <f>IF(Z3&gt;=IF(VRAGENLIJST!$H$141="",0,IFERROR(VLOOKUP(VRAGENLIJST!$H$141,dropdowns!$B$32:$F$69,5,FALSE),(VLOOKUP(VRAGENLIJST!$H$141,dropdowns!$C$32:$F$69,4,FALSE)))),VRAGENLIJST!$H$139,0)</f>
        <v>0</v>
      </c>
      <c r="AA24" s="318">
        <f>IF(AA3&gt;=IF(VRAGENLIJST!$H$141="",0,IFERROR(VLOOKUP(VRAGENLIJST!$H$141,dropdowns!$B$32:$F$69,5,FALSE),(VLOOKUP(VRAGENLIJST!$H$141,dropdowns!$C$32:$F$69,4,FALSE)))),VRAGENLIJST!$H$139,0)</f>
        <v>0</v>
      </c>
      <c r="AB24" s="318">
        <f>IF(AB3&gt;=IF(VRAGENLIJST!$H$141="",0,IFERROR(VLOOKUP(VRAGENLIJST!$H$141,dropdowns!$B$32:$F$69,5,FALSE),(VLOOKUP(VRAGENLIJST!$H$141,dropdowns!$C$32:$F$69,4,FALSE)))),VRAGENLIJST!$H$139,0)</f>
        <v>0</v>
      </c>
      <c r="AC24" s="320">
        <f t="shared" ref="AC24:AC35" si="5">SUM(Q24:AB24)</f>
        <v>0</v>
      </c>
      <c r="AD24" s="318">
        <f>IF(AD3&gt;=IF(VRAGENLIJST!$H$141="",0,IFERROR(VLOOKUP(VRAGENLIJST!$H$141,dropdowns!$B$32:$F$69,5,FALSE),(VLOOKUP(VRAGENLIJST!$H$141,dropdowns!$C$32:$F$69,4,FALSE)))),VRAGENLIJST!$H$139,0)</f>
        <v>0</v>
      </c>
      <c r="AE24" s="318">
        <f>IF(AE3&gt;=IF(VRAGENLIJST!$H$141="",0,IFERROR(VLOOKUP(VRAGENLIJST!$H$141,dropdowns!$B$32:$F$69,5,FALSE),(VLOOKUP(VRAGENLIJST!$H$141,dropdowns!$C$32:$F$69,4,FALSE)))),VRAGENLIJST!$H$139,0)</f>
        <v>0</v>
      </c>
      <c r="AF24" s="318">
        <f>IF(AF3&gt;=IF(VRAGENLIJST!$H$141="",0,IFERROR(VLOOKUP(VRAGENLIJST!$H$141,dropdowns!$B$32:$F$69,5,FALSE),(VLOOKUP(VRAGENLIJST!$H$141,dropdowns!$C$32:$F$69,4,FALSE)))),VRAGENLIJST!$H$139,0)</f>
        <v>0</v>
      </c>
      <c r="AG24" s="318">
        <f>IF(AG3&gt;=IF(VRAGENLIJST!$H$141="",0,IFERROR(VLOOKUP(VRAGENLIJST!$H$141,dropdowns!$B$32:$F$69,5,FALSE),(VLOOKUP(VRAGENLIJST!$H$141,dropdowns!$C$32:$F$69,4,FALSE)))),VRAGENLIJST!$H$139,0)</f>
        <v>0</v>
      </c>
      <c r="AH24" s="318">
        <f>IF(AH3&gt;=IF(VRAGENLIJST!$H$141="",0,IFERROR(VLOOKUP(VRAGENLIJST!$H$141,dropdowns!$B$32:$F$69,5,FALSE),(VLOOKUP(VRAGENLIJST!$H$141,dropdowns!$C$32:$F$69,4,FALSE)))),VRAGENLIJST!$H$139,0)</f>
        <v>0</v>
      </c>
      <c r="AI24" s="318">
        <f>IF(AI3&gt;=IF(VRAGENLIJST!$H$141="",0,IFERROR(VLOOKUP(VRAGENLIJST!$H$141,dropdowns!$B$32:$F$69,5,FALSE),(VLOOKUP(VRAGENLIJST!$H$141,dropdowns!$C$32:$F$69,4,FALSE)))),VRAGENLIJST!$H$139,0)</f>
        <v>0</v>
      </c>
      <c r="AJ24" s="318">
        <f>IF(AJ3&gt;=IF(VRAGENLIJST!$H$141="",0,IFERROR(VLOOKUP(VRAGENLIJST!$H$141,dropdowns!$B$32:$F$69,5,FALSE),(VLOOKUP(VRAGENLIJST!$H$141,dropdowns!$C$32:$F$69,4,FALSE)))),VRAGENLIJST!$H$139,0)</f>
        <v>0</v>
      </c>
      <c r="AK24" s="318">
        <f>IF(AK3&gt;=IF(VRAGENLIJST!$H$141="",0,IFERROR(VLOOKUP(VRAGENLIJST!$H$141,dropdowns!$B$32:$F$69,5,FALSE),(VLOOKUP(VRAGENLIJST!$H$141,dropdowns!$C$32:$F$69,4,FALSE)))),VRAGENLIJST!$H$139,0)</f>
        <v>0</v>
      </c>
      <c r="AL24" s="318">
        <f>IF(AL3&gt;=IF(VRAGENLIJST!$H$141="",0,IFERROR(VLOOKUP(VRAGENLIJST!$H$141,dropdowns!$B$32:$F$69,5,FALSE),(VLOOKUP(VRAGENLIJST!$H$141,dropdowns!$C$32:$F$69,4,FALSE)))),VRAGENLIJST!$H$139,0)</f>
        <v>0</v>
      </c>
      <c r="AM24" s="318">
        <f>IF(AM3&gt;=IF(VRAGENLIJST!$H$141="",0,IFERROR(VLOOKUP(VRAGENLIJST!$H$141,dropdowns!$B$32:$F$69,5,FALSE),(VLOOKUP(VRAGENLIJST!$H$141,dropdowns!$C$32:$F$69,4,FALSE)))),VRAGENLIJST!$H$139,0)</f>
        <v>0</v>
      </c>
      <c r="AN24" s="318">
        <f>IF(AN3&gt;=IF(VRAGENLIJST!$H$141="",0,IFERROR(VLOOKUP(VRAGENLIJST!$H$141,dropdowns!$B$32:$F$69,5,FALSE),(VLOOKUP(VRAGENLIJST!$H$141,dropdowns!$C$32:$F$69,4,FALSE)))),VRAGENLIJST!$H$139,0)</f>
        <v>0</v>
      </c>
      <c r="AO24" s="318">
        <f>IF(AO3&gt;=IF(VRAGENLIJST!$H$141="",0,IFERROR(VLOOKUP(VRAGENLIJST!$H$141,dropdowns!$B$32:$F$69,5,FALSE),(VLOOKUP(VRAGENLIJST!$H$141,dropdowns!$C$32:$F$69,4,FALSE)))),VRAGENLIJST!$H$139,0)</f>
        <v>0</v>
      </c>
      <c r="AP24" s="320">
        <f t="shared" ref="AP24:AP35" si="6">SUM(AD24:AO24)</f>
        <v>0</v>
      </c>
    </row>
    <row r="25" spans="2:42" ht="14.25" customHeight="1" x14ac:dyDescent="0.25">
      <c r="B25" s="317" t="str">
        <f>IF(VRAGENLIJST!D4="","",IF(VRAGENLIJST!$D$4=dropdowns!$A$6,Vertaling!A299,L51+Vertaling!A300))</f>
        <v/>
      </c>
      <c r="C25" s="319"/>
      <c r="D25" s="318">
        <f>IF(VRAGENLIJST!$D$4=dropdowns!$A$6,VRAGENLIJST!$H$68+VRAGENLIJST!$D$68,0)</f>
        <v>0</v>
      </c>
      <c r="E25" s="318">
        <f>IF(VRAGENLIJST!$D$4=dropdowns!$A$6,VRAGENLIJST!$H$68+VRAGENLIJST!$D$68,0)</f>
        <v>0</v>
      </c>
      <c r="F25" s="318">
        <f>IF(VRAGENLIJST!$D$4=dropdowns!$A$6,VRAGENLIJST!$H$68+VRAGENLIJST!$D$68,0)</f>
        <v>0</v>
      </c>
      <c r="G25" s="318">
        <f>IF(VRAGENLIJST!$D$4=dropdowns!$A$6,VRAGENLIJST!$H$68+VRAGENLIJST!$D$68,0)</f>
        <v>0</v>
      </c>
      <c r="H25" s="318">
        <f>IF(VRAGENLIJST!$D$4=dropdowns!$A$6,VRAGENLIJST!$H$68+VRAGENLIJST!$D$68,0)</f>
        <v>0</v>
      </c>
      <c r="I25" s="318">
        <f>IF(VRAGENLIJST!$D$4=dropdowns!$A$6,VRAGENLIJST!$H$68+VRAGENLIJST!$D$68,0)</f>
        <v>0</v>
      </c>
      <c r="J25" s="318">
        <f>IF(VRAGENLIJST!$D$4=dropdowns!$A$6,VRAGENLIJST!$H$68+VRAGENLIJST!$D$68,0)</f>
        <v>0</v>
      </c>
      <c r="K25" s="318">
        <f>IF(VRAGENLIJST!$D$4=dropdowns!$A$6,VRAGENLIJST!$H$68+VRAGENLIJST!$D$68,0)</f>
        <v>0</v>
      </c>
      <c r="L25" s="318">
        <f>IF(VRAGENLIJST!$D$4=dropdowns!$A$6,VRAGENLIJST!$H$68+VRAGENLIJST!$D$68,0)</f>
        <v>0</v>
      </c>
      <c r="M25" s="318">
        <f>IF(VRAGENLIJST!$D$4=dropdowns!$A$6,VRAGENLIJST!$H$68+VRAGENLIJST!$D$68,0)</f>
        <v>0</v>
      </c>
      <c r="N25" s="318">
        <f>IF(VRAGENLIJST!$D$4=dropdowns!$A$6,VRAGENLIJST!$H$68+VRAGENLIJST!$D$68,0)</f>
        <v>0</v>
      </c>
      <c r="O25" s="318">
        <f>IF(VRAGENLIJST!$D$4=dropdowns!$A$6,VRAGENLIJST!$H$68+VRAGENLIJST!$D$68,0)</f>
        <v>0</v>
      </c>
      <c r="P25" s="320">
        <f>SUM(D25:O25)</f>
        <v>0</v>
      </c>
      <c r="Q25" s="318">
        <f>IF(VRAGENLIJST!$D$4=dropdowns!$A$6,VRAGENLIJST!$H$68+VRAGENLIJST!$D$68,0)</f>
        <v>0</v>
      </c>
      <c r="R25" s="318">
        <f>IF(VRAGENLIJST!$D$4=dropdowns!$A$6,VRAGENLIJST!$H$68+VRAGENLIJST!$D$68,0)</f>
        <v>0</v>
      </c>
      <c r="S25" s="318">
        <f>IF(VRAGENLIJST!$D$4=dropdowns!$A$6,VRAGENLIJST!$H$68+VRAGENLIJST!$D$68,0)</f>
        <v>0</v>
      </c>
      <c r="T25" s="318">
        <f>IF(VRAGENLIJST!$D$4=dropdowns!$A$6,VRAGENLIJST!$H$68+VRAGENLIJST!$D$68,0)</f>
        <v>0</v>
      </c>
      <c r="U25" s="318">
        <f>IF(VRAGENLIJST!$D$4=dropdowns!$A$6,VRAGENLIJST!$H$68+VRAGENLIJST!$D$68,0)</f>
        <v>0</v>
      </c>
      <c r="V25" s="318">
        <f>IF(VRAGENLIJST!$D$4=dropdowns!$A$6,VRAGENLIJST!$H$68+VRAGENLIJST!$D$68,0)</f>
        <v>0</v>
      </c>
      <c r="W25" s="318">
        <f>IF(VRAGENLIJST!$D$4=dropdowns!$A$6,VRAGENLIJST!$H$68+VRAGENLIJST!$D$68,0)</f>
        <v>0</v>
      </c>
      <c r="X25" s="318">
        <f>IF(VRAGENLIJST!$D$4=dropdowns!$A$6,VRAGENLIJST!$H$68+VRAGENLIJST!$D$68,0)</f>
        <v>0</v>
      </c>
      <c r="Y25" s="318">
        <f>IF(VRAGENLIJST!$D$4=dropdowns!$A$6,VRAGENLIJST!$H$68+VRAGENLIJST!$D$68,0)</f>
        <v>0</v>
      </c>
      <c r="Z25" s="318">
        <f>IF(VRAGENLIJST!$D$4=dropdowns!$A$6,VRAGENLIJST!$H$68+VRAGENLIJST!$D$68,0)</f>
        <v>0</v>
      </c>
      <c r="AA25" s="318">
        <f>IF(VRAGENLIJST!$D$4=dropdowns!$A$6,VRAGENLIJST!$H$68+VRAGENLIJST!$D$68,0)</f>
        <v>0</v>
      </c>
      <c r="AB25" s="318">
        <f>IF(VRAGENLIJST!$D$4=dropdowns!$A$6,VRAGENLIJST!$H$68+VRAGENLIJST!$D$68,0)</f>
        <v>0</v>
      </c>
      <c r="AC25" s="320">
        <f t="shared" si="5"/>
        <v>0</v>
      </c>
      <c r="AD25" s="318">
        <f>IF(VRAGENLIJST!$D$4=dropdowns!$A$6,VRAGENLIJST!$H$68+VRAGENLIJST!$D$68,0)</f>
        <v>0</v>
      </c>
      <c r="AE25" s="318">
        <f>IF(VRAGENLIJST!$D$4=dropdowns!$A$6,VRAGENLIJST!$H$68+VRAGENLIJST!$D$68,0)</f>
        <v>0</v>
      </c>
      <c r="AF25" s="318">
        <f>IF(VRAGENLIJST!$D$4=dropdowns!$A$6,VRAGENLIJST!$H$68+VRAGENLIJST!$D$68,0)</f>
        <v>0</v>
      </c>
      <c r="AG25" s="318">
        <f>IF(VRAGENLIJST!$D$4=dropdowns!$A$6,VRAGENLIJST!$H$68+VRAGENLIJST!$D$68,0)</f>
        <v>0</v>
      </c>
      <c r="AH25" s="318">
        <f>IF(VRAGENLIJST!$D$4=dropdowns!$A$6,VRAGENLIJST!$H$68+VRAGENLIJST!$D$68,0)</f>
        <v>0</v>
      </c>
      <c r="AI25" s="318">
        <f>IF(VRAGENLIJST!$D$4=dropdowns!$A$6,VRAGENLIJST!$H$68+VRAGENLIJST!$D$68,0)</f>
        <v>0</v>
      </c>
      <c r="AJ25" s="318">
        <f>IF(VRAGENLIJST!$D$4=dropdowns!$A$6,VRAGENLIJST!$H$68+VRAGENLIJST!$D$68,0)</f>
        <v>0</v>
      </c>
      <c r="AK25" s="318">
        <f>IF(VRAGENLIJST!$D$4=dropdowns!$A$6,VRAGENLIJST!$H$68+VRAGENLIJST!$D$68,0)</f>
        <v>0</v>
      </c>
      <c r="AL25" s="318">
        <f>IF(VRAGENLIJST!$D$4=dropdowns!$A$6,VRAGENLIJST!$H$68+VRAGENLIJST!$D$68,0)</f>
        <v>0</v>
      </c>
      <c r="AM25" s="318">
        <f>IF(VRAGENLIJST!$D$4=dropdowns!$A$6,VRAGENLIJST!$H$68+VRAGENLIJST!$D$68,0)</f>
        <v>0</v>
      </c>
      <c r="AN25" s="318">
        <f>IF(VRAGENLIJST!$D$4=dropdowns!$A$6,VRAGENLIJST!$H$68+VRAGENLIJST!$D$68,0)</f>
        <v>0</v>
      </c>
      <c r="AO25" s="318">
        <f>IF(VRAGENLIJST!$D$4=dropdowns!$A$6,VRAGENLIJST!$H$68+VRAGENLIJST!$D$68,0)</f>
        <v>0</v>
      </c>
      <c r="AP25" s="320">
        <f t="shared" si="6"/>
        <v>0</v>
      </c>
    </row>
    <row r="26" spans="2:42" ht="14.25" customHeight="1" x14ac:dyDescent="0.25">
      <c r="B26" s="317" t="str">
        <f>Vertaling!A285</f>
        <v xml:space="preserve"> Huisvestingskosten</v>
      </c>
      <c r="C26" s="319"/>
      <c r="D26" s="318">
        <f>IF(D3&gt;=IF(VRAGENLIJST!$H$145="",0,IFERROR(VLOOKUP(VRAGENLIJST!$H$145,dropdowns!$B$32:$F$69,5,FALSE),(VLOOKUP(VRAGENLIJST!$H$145,dropdowns!$C$32:$F$69,4,FALSE)))),VRAGENLIJST!$H$143,0)</f>
        <v>0</v>
      </c>
      <c r="E26" s="318">
        <f>IF(E3&gt;=IF(VRAGENLIJST!$H$145="",0,IFERROR(VLOOKUP(VRAGENLIJST!$H$145,dropdowns!$B$32:$F$69,5,FALSE),(VLOOKUP(VRAGENLIJST!$H$145,dropdowns!$C$32:$F$69,4,FALSE)))),VRAGENLIJST!$H$143,0)</f>
        <v>0</v>
      </c>
      <c r="F26" s="318">
        <f>IF(F3&gt;=IF(VRAGENLIJST!$H$145="",0,IFERROR(VLOOKUP(VRAGENLIJST!$H$145,dropdowns!$B$32:$F$69,5,FALSE),(VLOOKUP(VRAGENLIJST!$H$145,dropdowns!$C$32:$F$69,4,FALSE)))),VRAGENLIJST!$H$143,0)</f>
        <v>0</v>
      </c>
      <c r="G26" s="318">
        <f>IF(G3&gt;=IF(VRAGENLIJST!$H$145="",0,IFERROR(VLOOKUP(VRAGENLIJST!$H$145,dropdowns!$B$32:$F$69,5,FALSE),(VLOOKUP(VRAGENLIJST!$H$145,dropdowns!$C$32:$F$69,4,FALSE)))),VRAGENLIJST!$H$143,0)</f>
        <v>0</v>
      </c>
      <c r="H26" s="318">
        <f>IF(H3&gt;=IF(VRAGENLIJST!$H$145="",0,IFERROR(VLOOKUP(VRAGENLIJST!$H$145,dropdowns!$B$32:$F$69,5,FALSE),(VLOOKUP(VRAGENLIJST!$H$145,dropdowns!$C$32:$F$69,4,FALSE)))),VRAGENLIJST!$H$143,0)</f>
        <v>0</v>
      </c>
      <c r="I26" s="318">
        <f>IF(I3&gt;=IF(VRAGENLIJST!$H$145="",0,IFERROR(VLOOKUP(VRAGENLIJST!$H$145,dropdowns!$B$32:$F$69,5,FALSE),(VLOOKUP(VRAGENLIJST!$H$145,dropdowns!$C$32:$F$69,4,FALSE)))),VRAGENLIJST!$H$143,0)</f>
        <v>0</v>
      </c>
      <c r="J26" s="318">
        <f>IF(J3&gt;=IF(VRAGENLIJST!$H$145="",0,IFERROR(VLOOKUP(VRAGENLIJST!$H$145,dropdowns!$B$32:$F$69,5,FALSE),(VLOOKUP(VRAGENLIJST!$H$145,dropdowns!$C$32:$F$69,4,FALSE)))),VRAGENLIJST!$H$143,0)</f>
        <v>0</v>
      </c>
      <c r="K26" s="318">
        <f>IF(K3&gt;=IF(VRAGENLIJST!$H$145="",0,IFERROR(VLOOKUP(VRAGENLIJST!$H$145,dropdowns!$B$32:$F$69,5,FALSE),(VLOOKUP(VRAGENLIJST!$H$145,dropdowns!$C$32:$F$69,4,FALSE)))),VRAGENLIJST!$H$143,0)</f>
        <v>0</v>
      </c>
      <c r="L26" s="318">
        <f>IF(L3&gt;=IF(VRAGENLIJST!$H$145="",0,IFERROR(VLOOKUP(VRAGENLIJST!$H$145,dropdowns!$B$32:$F$69,5,FALSE),(VLOOKUP(VRAGENLIJST!$H$145,dropdowns!$C$32:$F$69,4,FALSE)))),VRAGENLIJST!$H$143,0)</f>
        <v>0</v>
      </c>
      <c r="M26" s="318">
        <f>IF(M3&gt;=IF(VRAGENLIJST!$H$145="",0,IFERROR(VLOOKUP(VRAGENLIJST!$H$145,dropdowns!$B$32:$F$69,5,FALSE),(VLOOKUP(VRAGENLIJST!$H$145,dropdowns!$C$32:$F$69,4,FALSE)))),VRAGENLIJST!$H$143,0)</f>
        <v>0</v>
      </c>
      <c r="N26" s="318">
        <f>IF(N3&gt;=IF(VRAGENLIJST!$H$145="",0,IFERROR(VLOOKUP(VRAGENLIJST!$H$145,dropdowns!$B$32:$F$69,5,FALSE),(VLOOKUP(VRAGENLIJST!$H$145,dropdowns!$C$32:$F$69,4,FALSE)))),VRAGENLIJST!$H$143,0)</f>
        <v>0</v>
      </c>
      <c r="O26" s="318">
        <f>IF(O3&gt;=IF(VRAGENLIJST!$H$145="",0,IFERROR(VLOOKUP(VRAGENLIJST!$H$145,dropdowns!$B$32:$F$69,5,FALSE),(VLOOKUP(VRAGENLIJST!$H$145,dropdowns!$C$32:$F$69,4,FALSE)))),VRAGENLIJST!$H$143,0)</f>
        <v>0</v>
      </c>
      <c r="P26" s="320">
        <f>SUM(D26:O26)</f>
        <v>0</v>
      </c>
      <c r="Q26" s="318">
        <f>IF(Q3&gt;=IF(VRAGENLIJST!$H$145="",0,IFERROR(VLOOKUP(VRAGENLIJST!$H$145,dropdowns!$B$32:$F$69,5,FALSE),(VLOOKUP(VRAGENLIJST!$H$145,dropdowns!$C$32:$F$69,4,FALSE)))),VRAGENLIJST!$H$143,0)</f>
        <v>0</v>
      </c>
      <c r="R26" s="318">
        <f>IF(R3&gt;=IF(VRAGENLIJST!$H$145="",0,IFERROR(VLOOKUP(VRAGENLIJST!$H$145,dropdowns!$B$32:$F$69,5,FALSE),(VLOOKUP(VRAGENLIJST!$H$145,dropdowns!$C$32:$F$69,4,FALSE)))),VRAGENLIJST!$H$143,0)</f>
        <v>0</v>
      </c>
      <c r="S26" s="318">
        <f>IF(S3&gt;=IF(VRAGENLIJST!$H$145="",0,IFERROR(VLOOKUP(VRAGENLIJST!$H$145,dropdowns!$B$32:$F$69,5,FALSE),(VLOOKUP(VRAGENLIJST!$H$145,dropdowns!$C$32:$F$69,4,FALSE)))),VRAGENLIJST!$H$143,0)</f>
        <v>0</v>
      </c>
      <c r="T26" s="318">
        <f>IF(T3&gt;=IF(VRAGENLIJST!$H$145="",0,IFERROR(VLOOKUP(VRAGENLIJST!$H$145,dropdowns!$B$32:$F$69,5,FALSE),(VLOOKUP(VRAGENLIJST!$H$145,dropdowns!$C$32:$F$69,4,FALSE)))),VRAGENLIJST!$H$143,0)</f>
        <v>0</v>
      </c>
      <c r="U26" s="318">
        <f>IF(U3&gt;=IF(VRAGENLIJST!$H$145="",0,IFERROR(VLOOKUP(VRAGENLIJST!$H$145,dropdowns!$B$32:$F$69,5,FALSE),(VLOOKUP(VRAGENLIJST!$H$145,dropdowns!$C$32:$F$69,4,FALSE)))),VRAGENLIJST!$H$143,0)</f>
        <v>0</v>
      </c>
      <c r="V26" s="318">
        <f>IF(V3&gt;=IF(VRAGENLIJST!$H$145="",0,IFERROR(VLOOKUP(VRAGENLIJST!$H$145,dropdowns!$B$32:$F$69,5,FALSE),(VLOOKUP(VRAGENLIJST!$H$145,dropdowns!$C$32:$F$69,4,FALSE)))),VRAGENLIJST!$H$143,0)</f>
        <v>0</v>
      </c>
      <c r="W26" s="318">
        <f>IF(W3&gt;=IF(VRAGENLIJST!$H$145="",0,IFERROR(VLOOKUP(VRAGENLIJST!$H$145,dropdowns!$B$32:$F$69,5,FALSE),(VLOOKUP(VRAGENLIJST!$H$145,dropdowns!$C$32:$F$69,4,FALSE)))),VRAGENLIJST!$H$143,0)</f>
        <v>0</v>
      </c>
      <c r="X26" s="318">
        <f>IF(X3&gt;=IF(VRAGENLIJST!$H$145="",0,IFERROR(VLOOKUP(VRAGENLIJST!$H$145,dropdowns!$B$32:$F$69,5,FALSE),(VLOOKUP(VRAGENLIJST!$H$145,dropdowns!$C$32:$F$69,4,FALSE)))),VRAGENLIJST!$H$143,0)</f>
        <v>0</v>
      </c>
      <c r="Y26" s="318">
        <f>IF(Y3&gt;=IF(VRAGENLIJST!$H$145="",0,IFERROR(VLOOKUP(VRAGENLIJST!$H$145,dropdowns!$B$32:$F$69,5,FALSE),(VLOOKUP(VRAGENLIJST!$H$145,dropdowns!$C$32:$F$69,4,FALSE)))),VRAGENLIJST!$H$143,0)</f>
        <v>0</v>
      </c>
      <c r="Z26" s="318">
        <f>IF(Z3&gt;=IF(VRAGENLIJST!$H$145="",0,IFERROR(VLOOKUP(VRAGENLIJST!$H$145,dropdowns!$B$32:$F$69,5,FALSE),(VLOOKUP(VRAGENLIJST!$H$145,dropdowns!$C$32:$F$69,4,FALSE)))),VRAGENLIJST!$H$143,0)</f>
        <v>0</v>
      </c>
      <c r="AA26" s="318">
        <f>IF(AA3&gt;=IF(VRAGENLIJST!$H$145="",0,IFERROR(VLOOKUP(VRAGENLIJST!$H$145,dropdowns!$B$32:$F$69,5,FALSE),(VLOOKUP(VRAGENLIJST!$H$145,dropdowns!$C$32:$F$69,4,FALSE)))),VRAGENLIJST!$H$143,0)</f>
        <v>0</v>
      </c>
      <c r="AB26" s="318">
        <f>IF(AB3&gt;=IF(VRAGENLIJST!$H$145="",0,IFERROR(VLOOKUP(VRAGENLIJST!$H$145,dropdowns!$B$32:$F$69,5,FALSE),(VLOOKUP(VRAGENLIJST!$H$145,dropdowns!$C$32:$F$69,4,FALSE)))),VRAGENLIJST!$H$143,0)</f>
        <v>0</v>
      </c>
      <c r="AC26" s="320">
        <f t="shared" si="5"/>
        <v>0</v>
      </c>
      <c r="AD26" s="318">
        <f>IF(AD3&gt;=IF(VRAGENLIJST!$H$145="",0,IFERROR(VLOOKUP(VRAGENLIJST!$H$145,dropdowns!$B$32:$F$69,5,FALSE),(VLOOKUP(VRAGENLIJST!$H$145,dropdowns!$C$32:$F$69,4,FALSE)))),VRAGENLIJST!$H$143,0)</f>
        <v>0</v>
      </c>
      <c r="AE26" s="318">
        <f>IF(AE3&gt;=IF(VRAGENLIJST!$H$145="",0,IFERROR(VLOOKUP(VRAGENLIJST!$H$145,dropdowns!$B$32:$F$69,5,FALSE),(VLOOKUP(VRAGENLIJST!$H$145,dropdowns!$C$32:$F$69,4,FALSE)))),VRAGENLIJST!$H$143,0)</f>
        <v>0</v>
      </c>
      <c r="AF26" s="318">
        <f>IF(AF3&gt;=IF(VRAGENLIJST!$H$145="",0,IFERROR(VLOOKUP(VRAGENLIJST!$H$145,dropdowns!$B$32:$F$69,5,FALSE),(VLOOKUP(VRAGENLIJST!$H$145,dropdowns!$C$32:$F$69,4,FALSE)))),VRAGENLIJST!$H$143,0)</f>
        <v>0</v>
      </c>
      <c r="AG26" s="318">
        <f>IF(AG3&gt;=IF(VRAGENLIJST!$H$145="",0,IFERROR(VLOOKUP(VRAGENLIJST!$H$145,dropdowns!$B$32:$F$69,5,FALSE),(VLOOKUP(VRAGENLIJST!$H$145,dropdowns!$C$32:$F$69,4,FALSE)))),VRAGENLIJST!$H$143,0)</f>
        <v>0</v>
      </c>
      <c r="AH26" s="318">
        <f>IF(AH3&gt;=IF(VRAGENLIJST!$H$145="",0,IFERROR(VLOOKUP(VRAGENLIJST!$H$145,dropdowns!$B$32:$F$69,5,FALSE),(VLOOKUP(VRAGENLIJST!$H$145,dropdowns!$C$32:$F$69,4,FALSE)))),VRAGENLIJST!$H$143,0)</f>
        <v>0</v>
      </c>
      <c r="AI26" s="318">
        <f>IF(AI3&gt;=IF(VRAGENLIJST!$H$145="",0,IFERROR(VLOOKUP(VRAGENLIJST!$H$145,dropdowns!$B$32:$F$69,5,FALSE),(VLOOKUP(VRAGENLIJST!$H$145,dropdowns!$C$32:$F$69,4,FALSE)))),VRAGENLIJST!$H$143,0)</f>
        <v>0</v>
      </c>
      <c r="AJ26" s="318">
        <f>IF(AJ3&gt;=IF(VRAGENLIJST!$H$145="",0,IFERROR(VLOOKUP(VRAGENLIJST!$H$145,dropdowns!$B$32:$F$69,5,FALSE),(VLOOKUP(VRAGENLIJST!$H$145,dropdowns!$C$32:$F$69,4,FALSE)))),VRAGENLIJST!$H$143,0)</f>
        <v>0</v>
      </c>
      <c r="AK26" s="318">
        <f>IF(AK3&gt;=IF(VRAGENLIJST!$H$145="",0,IFERROR(VLOOKUP(VRAGENLIJST!$H$145,dropdowns!$B$32:$F$69,5,FALSE),(VLOOKUP(VRAGENLIJST!$H$145,dropdowns!$C$32:$F$69,4,FALSE)))),VRAGENLIJST!$H$143,0)</f>
        <v>0</v>
      </c>
      <c r="AL26" s="318">
        <f>IF(AL3&gt;=IF(VRAGENLIJST!$H$145="",0,IFERROR(VLOOKUP(VRAGENLIJST!$H$145,dropdowns!$B$32:$F$69,5,FALSE),(VLOOKUP(VRAGENLIJST!$H$145,dropdowns!$C$32:$F$69,4,FALSE)))),VRAGENLIJST!$H$143,0)</f>
        <v>0</v>
      </c>
      <c r="AM26" s="318">
        <f>IF(AM3&gt;=IF(VRAGENLIJST!$H$145="",0,IFERROR(VLOOKUP(VRAGENLIJST!$H$145,dropdowns!$B$32:$F$69,5,FALSE),(VLOOKUP(VRAGENLIJST!$H$145,dropdowns!$C$32:$F$69,4,FALSE)))),VRAGENLIJST!$H$143,0)</f>
        <v>0</v>
      </c>
      <c r="AN26" s="318">
        <f>IF(AN3&gt;=IF(VRAGENLIJST!$H$145="",0,IFERROR(VLOOKUP(VRAGENLIJST!$H$145,dropdowns!$B$32:$F$69,5,FALSE),(VLOOKUP(VRAGENLIJST!$H$145,dropdowns!$C$32:$F$69,4,FALSE)))),VRAGENLIJST!$H$143,0)</f>
        <v>0</v>
      </c>
      <c r="AO26" s="318">
        <f>IF(AO3&gt;=IF(VRAGENLIJST!$H$145="",0,IFERROR(VLOOKUP(VRAGENLIJST!$H$145,dropdowns!$B$32:$F$69,5,FALSE),(VLOOKUP(VRAGENLIJST!$H$145,dropdowns!$C$32:$F$69,4,FALSE)))),VRAGENLIJST!$H$143,0)</f>
        <v>0</v>
      </c>
      <c r="AP26" s="320">
        <f t="shared" si="6"/>
        <v>0</v>
      </c>
    </row>
    <row r="27" spans="2:42" ht="14.25" customHeight="1" x14ac:dyDescent="0.25">
      <c r="B27" s="317" t="str">
        <f>Vertaling!A286</f>
        <v xml:space="preserve"> Vervoer-/transportkosten</v>
      </c>
      <c r="C27" s="319"/>
      <c r="D27" s="318">
        <f>VRAGENLIJST!$H$147</f>
        <v>0</v>
      </c>
      <c r="E27" s="318">
        <f>VRAGENLIJST!$H$147</f>
        <v>0</v>
      </c>
      <c r="F27" s="318">
        <f>VRAGENLIJST!$H$147</f>
        <v>0</v>
      </c>
      <c r="G27" s="318">
        <f>VRAGENLIJST!$H$147</f>
        <v>0</v>
      </c>
      <c r="H27" s="318">
        <f>VRAGENLIJST!$H$147</f>
        <v>0</v>
      </c>
      <c r="I27" s="318">
        <f>VRAGENLIJST!$H$147</f>
        <v>0</v>
      </c>
      <c r="J27" s="318">
        <f>VRAGENLIJST!$H$147</f>
        <v>0</v>
      </c>
      <c r="K27" s="318">
        <f>VRAGENLIJST!$H$147</f>
        <v>0</v>
      </c>
      <c r="L27" s="318">
        <f>VRAGENLIJST!$H$147</f>
        <v>0</v>
      </c>
      <c r="M27" s="318">
        <f>VRAGENLIJST!$H$147</f>
        <v>0</v>
      </c>
      <c r="N27" s="318">
        <f>VRAGENLIJST!$H$147</f>
        <v>0</v>
      </c>
      <c r="O27" s="318">
        <f>VRAGENLIJST!$H$147</f>
        <v>0</v>
      </c>
      <c r="P27" s="320">
        <f>SUM(D27:O27)</f>
        <v>0</v>
      </c>
      <c r="Q27" s="318">
        <f>VRAGENLIJST!$H$147</f>
        <v>0</v>
      </c>
      <c r="R27" s="318">
        <f>VRAGENLIJST!$H$147</f>
        <v>0</v>
      </c>
      <c r="S27" s="318">
        <f>VRAGENLIJST!$H$147</f>
        <v>0</v>
      </c>
      <c r="T27" s="318">
        <f>VRAGENLIJST!$H$147</f>
        <v>0</v>
      </c>
      <c r="U27" s="318">
        <f>VRAGENLIJST!$H$147</f>
        <v>0</v>
      </c>
      <c r="V27" s="318">
        <f>VRAGENLIJST!$H$147</f>
        <v>0</v>
      </c>
      <c r="W27" s="318">
        <f>VRAGENLIJST!$H$147</f>
        <v>0</v>
      </c>
      <c r="X27" s="318">
        <f>VRAGENLIJST!$H$147</f>
        <v>0</v>
      </c>
      <c r="Y27" s="318">
        <f>VRAGENLIJST!$H$147</f>
        <v>0</v>
      </c>
      <c r="Z27" s="318">
        <f>VRAGENLIJST!$H$147</f>
        <v>0</v>
      </c>
      <c r="AA27" s="318">
        <f>VRAGENLIJST!$H$147</f>
        <v>0</v>
      </c>
      <c r="AB27" s="318">
        <f>VRAGENLIJST!$H$147</f>
        <v>0</v>
      </c>
      <c r="AC27" s="320">
        <f t="shared" si="5"/>
        <v>0</v>
      </c>
      <c r="AD27" s="318">
        <f>VRAGENLIJST!$H$147</f>
        <v>0</v>
      </c>
      <c r="AE27" s="318">
        <f>VRAGENLIJST!$H$147</f>
        <v>0</v>
      </c>
      <c r="AF27" s="318">
        <f>VRAGENLIJST!$H$147</f>
        <v>0</v>
      </c>
      <c r="AG27" s="318">
        <f>VRAGENLIJST!$H$147</f>
        <v>0</v>
      </c>
      <c r="AH27" s="318">
        <f>VRAGENLIJST!$H$147</f>
        <v>0</v>
      </c>
      <c r="AI27" s="318">
        <f>VRAGENLIJST!$H$147</f>
        <v>0</v>
      </c>
      <c r="AJ27" s="318">
        <f>VRAGENLIJST!$H$147</f>
        <v>0</v>
      </c>
      <c r="AK27" s="318">
        <f>VRAGENLIJST!$H$147</f>
        <v>0</v>
      </c>
      <c r="AL27" s="318">
        <f>VRAGENLIJST!$H$147</f>
        <v>0</v>
      </c>
      <c r="AM27" s="318">
        <f>VRAGENLIJST!$H$147</f>
        <v>0</v>
      </c>
      <c r="AN27" s="318">
        <f>VRAGENLIJST!$H$147</f>
        <v>0</v>
      </c>
      <c r="AO27" s="318">
        <f>VRAGENLIJST!$H$147</f>
        <v>0</v>
      </c>
      <c r="AP27" s="320">
        <f t="shared" si="6"/>
        <v>0</v>
      </c>
    </row>
    <row r="28" spans="2:42" ht="14.25" customHeight="1" x14ac:dyDescent="0.25">
      <c r="B28" s="317" t="str">
        <f>Vertaling!A287</f>
        <v xml:space="preserve"> Promotiekosten</v>
      </c>
      <c r="C28" s="318">
        <f>'Investering &amp; Financiering'!D13</f>
        <v>0</v>
      </c>
      <c r="D28" s="318">
        <f>VRAGENLIJST!$H$149</f>
        <v>0</v>
      </c>
      <c r="E28" s="318">
        <f>VRAGENLIJST!$H$149</f>
        <v>0</v>
      </c>
      <c r="F28" s="318">
        <f>VRAGENLIJST!$H$149</f>
        <v>0</v>
      </c>
      <c r="G28" s="318">
        <f>VRAGENLIJST!$H$149</f>
        <v>0</v>
      </c>
      <c r="H28" s="318">
        <f>VRAGENLIJST!$H$149</f>
        <v>0</v>
      </c>
      <c r="I28" s="318">
        <f>VRAGENLIJST!$H$149</f>
        <v>0</v>
      </c>
      <c r="J28" s="318">
        <f>VRAGENLIJST!$H$149</f>
        <v>0</v>
      </c>
      <c r="K28" s="318">
        <f>VRAGENLIJST!$H$149</f>
        <v>0</v>
      </c>
      <c r="L28" s="318">
        <f>VRAGENLIJST!$H$149</f>
        <v>0</v>
      </c>
      <c r="M28" s="318">
        <f>VRAGENLIJST!$H$149</f>
        <v>0</v>
      </c>
      <c r="N28" s="318">
        <f>VRAGENLIJST!$H$149</f>
        <v>0</v>
      </c>
      <c r="O28" s="318">
        <f>VRAGENLIJST!$H$149</f>
        <v>0</v>
      </c>
      <c r="P28" s="320">
        <f>SUM(C28:O28)</f>
        <v>0</v>
      </c>
      <c r="Q28" s="318">
        <f>VRAGENLIJST!$H$149</f>
        <v>0</v>
      </c>
      <c r="R28" s="318">
        <f>VRAGENLIJST!$H$149</f>
        <v>0</v>
      </c>
      <c r="S28" s="318">
        <f>VRAGENLIJST!$H$149</f>
        <v>0</v>
      </c>
      <c r="T28" s="318">
        <f>VRAGENLIJST!$H$149</f>
        <v>0</v>
      </c>
      <c r="U28" s="318">
        <f>VRAGENLIJST!$H$149</f>
        <v>0</v>
      </c>
      <c r="V28" s="318">
        <f>VRAGENLIJST!$H$149</f>
        <v>0</v>
      </c>
      <c r="W28" s="318">
        <f>VRAGENLIJST!$H$149</f>
        <v>0</v>
      </c>
      <c r="X28" s="318">
        <f>VRAGENLIJST!$H$149</f>
        <v>0</v>
      </c>
      <c r="Y28" s="318">
        <f>VRAGENLIJST!$H$149</f>
        <v>0</v>
      </c>
      <c r="Z28" s="318">
        <f>VRAGENLIJST!$H$149</f>
        <v>0</v>
      </c>
      <c r="AA28" s="318">
        <f>VRAGENLIJST!$H$149</f>
        <v>0</v>
      </c>
      <c r="AB28" s="318">
        <f>VRAGENLIJST!$H$149</f>
        <v>0</v>
      </c>
      <c r="AC28" s="320">
        <f t="shared" si="5"/>
        <v>0</v>
      </c>
      <c r="AD28" s="318">
        <f>VRAGENLIJST!$H$149</f>
        <v>0</v>
      </c>
      <c r="AE28" s="318">
        <f>VRAGENLIJST!$H$149</f>
        <v>0</v>
      </c>
      <c r="AF28" s="318">
        <f>VRAGENLIJST!$H$149</f>
        <v>0</v>
      </c>
      <c r="AG28" s="318">
        <f>VRAGENLIJST!$H$149</f>
        <v>0</v>
      </c>
      <c r="AH28" s="318">
        <f>VRAGENLIJST!$H$149</f>
        <v>0</v>
      </c>
      <c r="AI28" s="318">
        <f>VRAGENLIJST!$H$149</f>
        <v>0</v>
      </c>
      <c r="AJ28" s="318">
        <f>VRAGENLIJST!$H$149</f>
        <v>0</v>
      </c>
      <c r="AK28" s="318">
        <f>VRAGENLIJST!$H$149</f>
        <v>0</v>
      </c>
      <c r="AL28" s="318">
        <f>VRAGENLIJST!$H$149</f>
        <v>0</v>
      </c>
      <c r="AM28" s="318">
        <f>VRAGENLIJST!$H$149</f>
        <v>0</v>
      </c>
      <c r="AN28" s="318">
        <f>VRAGENLIJST!$H$149</f>
        <v>0</v>
      </c>
      <c r="AO28" s="318">
        <f>VRAGENLIJST!$H$149</f>
        <v>0</v>
      </c>
      <c r="AP28" s="320">
        <f t="shared" si="6"/>
        <v>0</v>
      </c>
    </row>
    <row r="29" spans="2:42" ht="14.25" customHeight="1" x14ac:dyDescent="0.25">
      <c r="B29" s="317" t="str">
        <f>Vertaling!A288</f>
        <v xml:space="preserve"> Overige bedrijfskosten</v>
      </c>
      <c r="C29" s="319"/>
      <c r="D29" s="318">
        <f>SUM(VRAGENLIJST!$H$151:$H$159)</f>
        <v>0</v>
      </c>
      <c r="E29" s="318">
        <f>SUM(VRAGENLIJST!$H$151:$H$159)</f>
        <v>0</v>
      </c>
      <c r="F29" s="318">
        <f>SUM(VRAGENLIJST!$H$151:$H$159)</f>
        <v>0</v>
      </c>
      <c r="G29" s="318">
        <f>SUM(VRAGENLIJST!$H$151:$H$159)</f>
        <v>0</v>
      </c>
      <c r="H29" s="318">
        <f>SUM(VRAGENLIJST!$H$151:$H$159)</f>
        <v>0</v>
      </c>
      <c r="I29" s="318">
        <f>SUM(VRAGENLIJST!$H$151:$H$159)</f>
        <v>0</v>
      </c>
      <c r="J29" s="318">
        <f>SUM(VRAGENLIJST!$H$151:$H$159)</f>
        <v>0</v>
      </c>
      <c r="K29" s="318">
        <f>SUM(VRAGENLIJST!$H$151:$H$159)</f>
        <v>0</v>
      </c>
      <c r="L29" s="318">
        <f>SUM(VRAGENLIJST!$H$151:$H$159)</f>
        <v>0</v>
      </c>
      <c r="M29" s="318">
        <f>SUM(VRAGENLIJST!$H$151:$H$159)</f>
        <v>0</v>
      </c>
      <c r="N29" s="318">
        <f>SUM(VRAGENLIJST!$H$151:$H$159)</f>
        <v>0</v>
      </c>
      <c r="O29" s="318">
        <f>SUM(VRAGENLIJST!$H$151:$H$159)</f>
        <v>0</v>
      </c>
      <c r="P29" s="320">
        <f>SUM(C29:O29)</f>
        <v>0</v>
      </c>
      <c r="Q29" s="318">
        <f>SUM(VRAGENLIJST!$H$151:$H$159)</f>
        <v>0</v>
      </c>
      <c r="R29" s="318">
        <f>SUM(VRAGENLIJST!$H$151:$H$159)</f>
        <v>0</v>
      </c>
      <c r="S29" s="318">
        <f>SUM(VRAGENLIJST!$H$151:$H$159)</f>
        <v>0</v>
      </c>
      <c r="T29" s="318">
        <f>SUM(VRAGENLIJST!$H$151:$H$159)</f>
        <v>0</v>
      </c>
      <c r="U29" s="318">
        <f>SUM(VRAGENLIJST!$H$151:$H$159)</f>
        <v>0</v>
      </c>
      <c r="V29" s="318">
        <f>SUM(VRAGENLIJST!$H$151:$H$159)</f>
        <v>0</v>
      </c>
      <c r="W29" s="318">
        <f>SUM(VRAGENLIJST!$H$151:$H$159)</f>
        <v>0</v>
      </c>
      <c r="X29" s="318">
        <f>SUM(VRAGENLIJST!$H$151:$H$159)</f>
        <v>0</v>
      </c>
      <c r="Y29" s="318">
        <f>SUM(VRAGENLIJST!$H$151:$H$159)</f>
        <v>0</v>
      </c>
      <c r="Z29" s="318">
        <f>SUM(VRAGENLIJST!$H$151:$H$159)</f>
        <v>0</v>
      </c>
      <c r="AA29" s="318">
        <f>SUM(VRAGENLIJST!$H$151:$H$159)</f>
        <v>0</v>
      </c>
      <c r="AB29" s="318">
        <f>SUM(VRAGENLIJST!$H$151:$H$159)</f>
        <v>0</v>
      </c>
      <c r="AC29" s="320">
        <f t="shared" si="5"/>
        <v>0</v>
      </c>
      <c r="AD29" s="318">
        <f>SUM(VRAGENLIJST!$H$151:$H$159)</f>
        <v>0</v>
      </c>
      <c r="AE29" s="318">
        <f>SUM(VRAGENLIJST!$H$151:$H$159)</f>
        <v>0</v>
      </c>
      <c r="AF29" s="318">
        <f>SUM(VRAGENLIJST!$H$151:$H$159)</f>
        <v>0</v>
      </c>
      <c r="AG29" s="318">
        <f>SUM(VRAGENLIJST!$H$151:$H$159)</f>
        <v>0</v>
      </c>
      <c r="AH29" s="318">
        <f>SUM(VRAGENLIJST!$H$151:$H$159)</f>
        <v>0</v>
      </c>
      <c r="AI29" s="318">
        <f>SUM(VRAGENLIJST!$H$151:$H$159)</f>
        <v>0</v>
      </c>
      <c r="AJ29" s="318">
        <f>SUM(VRAGENLIJST!$H$151:$H$159)</f>
        <v>0</v>
      </c>
      <c r="AK29" s="318">
        <f>SUM(VRAGENLIJST!$H$151:$H$159)</f>
        <v>0</v>
      </c>
      <c r="AL29" s="318">
        <f>SUM(VRAGENLIJST!$H$151:$H$159)</f>
        <v>0</v>
      </c>
      <c r="AM29" s="318">
        <f>SUM(VRAGENLIJST!$H$151:$H$159)</f>
        <v>0</v>
      </c>
      <c r="AN29" s="318">
        <f>SUM(VRAGENLIJST!$H$151:$H$159)</f>
        <v>0</v>
      </c>
      <c r="AO29" s="318">
        <f>SUM(VRAGENLIJST!$H$151:$H$159)</f>
        <v>0</v>
      </c>
      <c r="AP29" s="320">
        <f t="shared" si="6"/>
        <v>0</v>
      </c>
    </row>
    <row r="30" spans="2:42" ht="14.25" customHeight="1" x14ac:dyDescent="0.25">
      <c r="B30" s="317" t="str">
        <f>Vertaling!A289</f>
        <v xml:space="preserve"> Btw investeringen/kosten</v>
      </c>
      <c r="C30" s="318">
        <f>'Investering &amp; Financiering'!D14</f>
        <v>0</v>
      </c>
      <c r="D30" s="318">
        <f>(D26+D27+D28+D29)*0.21</f>
        <v>0</v>
      </c>
      <c r="E30" s="318">
        <f t="shared" ref="E30:AB30" si="7">(E26+E27+E28+E29)*0.21</f>
        <v>0</v>
      </c>
      <c r="F30" s="318">
        <f t="shared" si="7"/>
        <v>0</v>
      </c>
      <c r="G30" s="318">
        <f t="shared" si="7"/>
        <v>0</v>
      </c>
      <c r="H30" s="318">
        <f t="shared" si="7"/>
        <v>0</v>
      </c>
      <c r="I30" s="318">
        <f t="shared" si="7"/>
        <v>0</v>
      </c>
      <c r="J30" s="318">
        <f t="shared" si="7"/>
        <v>0</v>
      </c>
      <c r="K30" s="318">
        <f t="shared" si="7"/>
        <v>0</v>
      </c>
      <c r="L30" s="318">
        <f t="shared" si="7"/>
        <v>0</v>
      </c>
      <c r="M30" s="318">
        <f t="shared" si="7"/>
        <v>0</v>
      </c>
      <c r="N30" s="318">
        <f t="shared" si="7"/>
        <v>0</v>
      </c>
      <c r="O30" s="318">
        <f t="shared" si="7"/>
        <v>0</v>
      </c>
      <c r="P30" s="320">
        <f>SUM(C30:O30)</f>
        <v>0</v>
      </c>
      <c r="Q30" s="318">
        <f t="shared" si="7"/>
        <v>0</v>
      </c>
      <c r="R30" s="318">
        <f t="shared" si="7"/>
        <v>0</v>
      </c>
      <c r="S30" s="318">
        <f t="shared" si="7"/>
        <v>0</v>
      </c>
      <c r="T30" s="318">
        <f t="shared" si="7"/>
        <v>0</v>
      </c>
      <c r="U30" s="318">
        <f t="shared" si="7"/>
        <v>0</v>
      </c>
      <c r="V30" s="318">
        <f t="shared" si="7"/>
        <v>0</v>
      </c>
      <c r="W30" s="318">
        <f t="shared" si="7"/>
        <v>0</v>
      </c>
      <c r="X30" s="318">
        <f t="shared" si="7"/>
        <v>0</v>
      </c>
      <c r="Y30" s="318">
        <f t="shared" si="7"/>
        <v>0</v>
      </c>
      <c r="Z30" s="318">
        <f t="shared" si="7"/>
        <v>0</v>
      </c>
      <c r="AA30" s="318">
        <f t="shared" si="7"/>
        <v>0</v>
      </c>
      <c r="AB30" s="318">
        <f t="shared" si="7"/>
        <v>0</v>
      </c>
      <c r="AC30" s="320">
        <f t="shared" si="5"/>
        <v>0</v>
      </c>
      <c r="AD30" s="318">
        <f t="shared" ref="AD30:AO30" si="8">(AD26+AD27+AD28+AD29)*0.21</f>
        <v>0</v>
      </c>
      <c r="AE30" s="318">
        <f t="shared" si="8"/>
        <v>0</v>
      </c>
      <c r="AF30" s="318">
        <f t="shared" si="8"/>
        <v>0</v>
      </c>
      <c r="AG30" s="318">
        <f t="shared" si="8"/>
        <v>0</v>
      </c>
      <c r="AH30" s="318">
        <f t="shared" si="8"/>
        <v>0</v>
      </c>
      <c r="AI30" s="318">
        <f t="shared" si="8"/>
        <v>0</v>
      </c>
      <c r="AJ30" s="318">
        <f t="shared" si="8"/>
        <v>0</v>
      </c>
      <c r="AK30" s="318">
        <f t="shared" si="8"/>
        <v>0</v>
      </c>
      <c r="AL30" s="318">
        <f t="shared" si="8"/>
        <v>0</v>
      </c>
      <c r="AM30" s="318">
        <f t="shared" si="8"/>
        <v>0</v>
      </c>
      <c r="AN30" s="318">
        <f t="shared" si="8"/>
        <v>0</v>
      </c>
      <c r="AO30" s="318">
        <f t="shared" si="8"/>
        <v>0</v>
      </c>
      <c r="AP30" s="320">
        <f t="shared" si="6"/>
        <v>0</v>
      </c>
    </row>
    <row r="31" spans="2:42" ht="14.25" customHeight="1" x14ac:dyDescent="0.25">
      <c r="B31" s="317" t="str">
        <f>Vertaling!A290</f>
        <v xml:space="preserve"> Btw-afdracht</v>
      </c>
      <c r="C31" s="319"/>
      <c r="D31" s="319"/>
      <c r="E31" s="319"/>
      <c r="F31" s="319"/>
      <c r="G31" s="318">
        <f>SUM(VRAGENLIJST!$D$255:$D$260)*VRAGENLIJST!$D$249+SUM(VRAGENLIJST!$F$255:$F$260)*VRAGENLIJST!$F$249+SUM(VRAGENLIJST!$H$255:$H$260)*VRAGENLIJST!$H$249-IF(VRAGENLIJST!$D$249=0,0,SUM(VRAGENLIJST!$D$174:$D$179))*VRAGENLIJST!$D$168-IF(VRAGENLIJST!$F$249=0,0,SUM(VRAGENLIJST!$F$174:$F$179))*VRAGENLIJST!$F$168-IF(VRAGENLIJST!$H$249=0,0,SUM(VRAGENLIJST!$H$174:$H$179))*VRAGENLIJST!$H$168-SUM(C30:F30)</f>
        <v>0</v>
      </c>
      <c r="H31" s="319"/>
      <c r="I31" s="319"/>
      <c r="J31" s="318">
        <f>SUM(VRAGENLIJST!$D$261:$D$266)*VRAGENLIJST!$D$249+SUM(VRAGENLIJST!$F$261:$F$266)*VRAGENLIJST!$F$249+SUM(VRAGENLIJST!$H$261:$H$266)*VRAGENLIJST!$H$249-IF(VRAGENLIJST!$D$249=0,0,SUM(VRAGENLIJST!$D$180:$D$185))*VRAGENLIJST!$D$168-IF(VRAGENLIJST!$F$249=0,0,SUM(VRAGENLIJST!$F$180:$F$185))*VRAGENLIJST!$F$168-IF(VRAGENLIJST!$H$249=0,0,SUM(VRAGENLIJST!$H$180:$H$185))*VRAGENLIJST!$H$168-SUM(G30:I30)</f>
        <v>0</v>
      </c>
      <c r="K31" s="319"/>
      <c r="L31" s="319"/>
      <c r="M31" s="318">
        <f>SUM(VRAGENLIJST!$D$267:$D$272)*VRAGENLIJST!$D$249+SUM(VRAGENLIJST!$F$267:$F$272)*VRAGENLIJST!$F$249+SUM(VRAGENLIJST!$H$267:$H$272)*VRAGENLIJST!$H$249-IF(VRAGENLIJST!$D$249=0,0,SUM(VRAGENLIJST!$D$186:$D$191))*VRAGENLIJST!$D$168-IF(VRAGENLIJST!$F$249=0,0,SUM(VRAGENLIJST!$F$186:$F$191))*VRAGENLIJST!$F$168-IF(VRAGENLIJST!$H$249=0,0,SUM(VRAGENLIJST!$H$186:$H$191))*VRAGENLIJST!$H$168-SUM(J30:L30)</f>
        <v>0</v>
      </c>
      <c r="N31" s="319"/>
      <c r="O31" s="319"/>
      <c r="P31" s="320">
        <f>SUM(D31:O31)</f>
        <v>0</v>
      </c>
      <c r="Q31" s="318">
        <f>SUM(VRAGENLIJST!$D$273:$D$278)*VRAGENLIJST!$D$249+SUM(VRAGENLIJST!$F$273:$F$278)*VRAGENLIJST!$F$249+SUM(VRAGENLIJST!$H$273:$H$278)*VRAGENLIJST!$H$249-IF(VRAGENLIJST!$D$249=0,0,SUM(VRAGENLIJST!$D$192:$D$197))*VRAGENLIJST!$D$168-IF(VRAGENLIJST!$F$249=0,0,SUM(VRAGENLIJST!$F$192:$F$197))*VRAGENLIJST!$F$168-IF(VRAGENLIJST!$H$249=0,0,SUM(VRAGENLIJST!$H$192:$H$197))*VRAGENLIJST!$H$168-SUM(M30:O30)</f>
        <v>0</v>
      </c>
      <c r="R31" s="319"/>
      <c r="S31" s="319"/>
      <c r="T31" s="318">
        <f>SUM(VRAGENLIJST!$D$279:$D$284)*VRAGENLIJST!$D$249+SUM(VRAGENLIJST!$F$279:$F$284)*VRAGENLIJST!$F$249+SUM(VRAGENLIJST!$H$279:$H$284)*VRAGENLIJST!$H$249-IF(VRAGENLIJST!$D$249=0,0,SUM(VRAGENLIJST!$D$198:$D$203))*VRAGENLIJST!$D$168-IF(VRAGENLIJST!$F$249=0,0,SUM(VRAGENLIJST!$F$198:$F$203))*VRAGENLIJST!$F$168-IF(VRAGENLIJST!$H$249=0,0,SUM(VRAGENLIJST!$H$198:$H$203))*VRAGENLIJST!$H$168-SUM(Q30:S30)</f>
        <v>0</v>
      </c>
      <c r="U31" s="319"/>
      <c r="V31" s="319"/>
      <c r="W31" s="318">
        <f>SUM(VRAGENLIJST!$D$285:$D$290)*VRAGENLIJST!$D$249+SUM(VRAGENLIJST!$F$285:$F$290)*VRAGENLIJST!$F$249+SUM(VRAGENLIJST!$H$285:$H$290)*VRAGENLIJST!$H$249-IF(VRAGENLIJST!$D$249=0,0,SUM(VRAGENLIJST!$D$204:$D$209))*VRAGENLIJST!$D$168-IF(VRAGENLIJST!$F$249=0,0,SUM(VRAGENLIJST!$F$204:$F$209))*VRAGENLIJST!$F$168-IF(VRAGENLIJST!$H$249=0,0,SUM(VRAGENLIJST!$H$204:$H$209))*VRAGENLIJST!$H$168-SUM(T30:V30)</f>
        <v>0</v>
      </c>
      <c r="X31" s="319"/>
      <c r="Y31" s="319"/>
      <c r="Z31" s="318">
        <f>SUM(VRAGENLIJST!$D$291:$D$296)*VRAGENLIJST!$D$249+SUM(VRAGENLIJST!$F$291:$F$296)*VRAGENLIJST!$F$249+SUM(VRAGENLIJST!$H$291:$H$296)*VRAGENLIJST!$H$249-IF(VRAGENLIJST!$D$249=0,0,SUM(VRAGENLIJST!$D$210:$D$215))*VRAGENLIJST!$D$168-IF(VRAGENLIJST!$F$249=0,0,SUM(VRAGENLIJST!$F$210:$F$215))*VRAGENLIJST!$F$168-IF(VRAGENLIJST!$H$249=0,0,SUM(VRAGENLIJST!$H$210:$H$215))*VRAGENLIJST!$H$168-SUM(W30:Y30)</f>
        <v>0</v>
      </c>
      <c r="AA31" s="319"/>
      <c r="AB31" s="319"/>
      <c r="AC31" s="320">
        <f t="shared" si="5"/>
        <v>0</v>
      </c>
      <c r="AD31" s="318">
        <f>SUM(VRAGENLIJST!$D$297:$D$302)*VRAGENLIJST!$D$249+SUM(VRAGENLIJST!$F$297:$F$302)*VRAGENLIJST!$F$249+SUM(VRAGENLIJST!$H$297:$H$302)*VRAGENLIJST!$H$249-IF(VRAGENLIJST!$D$249=0,0,SUM(VRAGENLIJST!$D$216:$D$221))*VRAGENLIJST!$D$168-IF(VRAGENLIJST!$F$249=0,0,SUM(VRAGENLIJST!$F$215:$F$221))*VRAGENLIJST!$F$168-IF(VRAGENLIJST!$H$249=0,0,SUM(VRAGENLIJST!$H$216:$H$221))*VRAGENLIJST!$H$168-SUM(Z30:AB30)</f>
        <v>0</v>
      </c>
      <c r="AE31" s="319"/>
      <c r="AF31" s="319"/>
      <c r="AG31" s="318">
        <f>SUM(VRAGENLIJST!$D$303:$D$308)*VRAGENLIJST!$D$249+SUM(VRAGENLIJST!$F$303:$F$308)*VRAGENLIJST!$F$249+SUM(VRAGENLIJST!$H$303:$H$308)*VRAGENLIJST!$H$249-IF(VRAGENLIJST!$D$249=0,0,SUM(VRAGENLIJST!$D$222:$D$227))*VRAGENLIJST!$D$168-IF(VRAGENLIJST!$F$249=0,0,SUM(VRAGENLIJST!$F$222:$F$227))*VRAGENLIJST!$F$168-IF(VRAGENLIJST!$H$249=0,0,SUM(VRAGENLIJST!$H$222:$H$227))*VRAGENLIJST!$H$168-SUM(AD30:AF30)</f>
        <v>0</v>
      </c>
      <c r="AH31" s="319"/>
      <c r="AI31" s="319"/>
      <c r="AJ31" s="318">
        <f>SUM(VRAGENLIJST!$D$309:$D$314)*VRAGENLIJST!$D$249+SUM(VRAGENLIJST!$F$309:$F$314)*VRAGENLIJST!$F$249+SUM(VRAGENLIJST!$H$309:$H$314)*VRAGENLIJST!$H$249-IF(VRAGENLIJST!$D$249=0,0,SUM(VRAGENLIJST!$D$228:$D$233))*VRAGENLIJST!$D$168-IF(VRAGENLIJST!$F$249=0,0,SUM(VRAGENLIJST!$F$228:$F$235))*VRAGENLIJST!$F$168-IF(VRAGENLIJST!$H$249=0,0,SUM(VRAGENLIJST!$H$228:$H$235))*VRAGENLIJST!$H$168-SUM(AG30:AI30)</f>
        <v>0</v>
      </c>
      <c r="AK31" s="319"/>
      <c r="AL31" s="319"/>
      <c r="AM31" s="318">
        <f>SUM(VRAGENLIJST!$D$315:$D$320)*VRAGENLIJST!$D$249+SUM(VRAGENLIJST!$F$315:$F$320)*VRAGENLIJST!$F$249+SUM(VRAGENLIJST!$H$315:$H$320)*VRAGENLIJST!$H$249-IF(VRAGENLIJST!$D$249=0,0,SUM(VRAGENLIJST!$D$234:$D$239))*VRAGENLIJST!$D$168-IF(VRAGENLIJST!$F$249=0,0,SUM(VRAGENLIJST!$F$234:$F$239))*VRAGENLIJST!$F$168-IF(VRAGENLIJST!$H$249=0,0,SUM(VRAGENLIJST!$H$234:$H$239))*VRAGENLIJST!$H$168-SUM(AJ30:AL30)</f>
        <v>0</v>
      </c>
      <c r="AN31" s="319"/>
      <c r="AO31" s="319"/>
      <c r="AP31" s="320">
        <f t="shared" si="6"/>
        <v>0</v>
      </c>
    </row>
    <row r="32" spans="2:42" ht="14.25" customHeight="1" x14ac:dyDescent="0.25">
      <c r="B32" s="317" t="str">
        <f>Vertaling!A291</f>
        <v xml:space="preserve"> Rente (excl. Qredits)</v>
      </c>
      <c r="C32" s="319"/>
      <c r="D32" s="318">
        <f>IFERROR(IF(AND(VRAGENLIJST!$H$120&gt;0,VRAGENLIJST!$H$120/VRAGENLIJST!$H$124+IFERROR(VLOOKUP(VRAGENLIJST!$H$126,dropdowns!$B$32:$F$67,5,FALSE),VLOOKUP(VRAGENLIJST!$H$126,dropdowns!$C$32:$F$67,4,FALSE))&gt;D3),VRAGENLIJST!$H$122,0),0)+IFERROR(IF(AND(VRAGENLIJST!$H$128&gt;0,VRAGENLIJST!$H$128/VRAGENLIJST!$H$132+IFERROR(VLOOKUP(VRAGENLIJST!$H$134,dropdowns!$B$32:$F$67,5,FALSE),VLOOKUP(VRAGENLIJST!$H$134,dropdowns!$C$32:$F$67,4,FALSE))&gt;D3),VRAGENLIJST!$H$130,0),0)</f>
        <v>0</v>
      </c>
      <c r="E32" s="318">
        <f>IFERROR(IF(AND(VRAGENLIJST!$H$120&gt;0,VRAGENLIJST!$H$120/VRAGENLIJST!$H$124+IFERROR(VLOOKUP(VRAGENLIJST!$H$126,dropdowns!$B$32:$F$67,5,FALSE),VLOOKUP(VRAGENLIJST!$H$126,dropdowns!$C$32:$F$67,4,FALSE))&gt;E3),VRAGENLIJST!$H$122,0),0)+IFERROR(IF(AND(VRAGENLIJST!$H$128&gt;0,VRAGENLIJST!$H$128/VRAGENLIJST!$H$132+IFERROR(VLOOKUP(VRAGENLIJST!$H$134,dropdowns!$B$32:$F$67,5,FALSE),VLOOKUP(VRAGENLIJST!$H$134,dropdowns!$C$32:$F$67,4,FALSE))&gt;E3),VRAGENLIJST!$H$130,0),0)</f>
        <v>0</v>
      </c>
      <c r="F32" s="318">
        <f>IFERROR(IF(AND(VRAGENLIJST!$H$120&gt;0,VRAGENLIJST!$H$120/VRAGENLIJST!$H$124+IFERROR(VLOOKUP(VRAGENLIJST!$H$126,dropdowns!$B$32:$F$67,5,FALSE),VLOOKUP(VRAGENLIJST!$H$126,dropdowns!$C$32:$F$67,4,FALSE))&gt;F3),VRAGENLIJST!$H$122,0),0)+IFERROR(IF(AND(VRAGENLIJST!$H$128&gt;0,VRAGENLIJST!$H$128/VRAGENLIJST!$H$132+IFERROR(VLOOKUP(VRAGENLIJST!$H$134,dropdowns!$B$32:$F$67,5,FALSE),VLOOKUP(VRAGENLIJST!$H$134,dropdowns!$C$32:$F$67,4,FALSE))&gt;F3),VRAGENLIJST!$H$130,0),0)</f>
        <v>0</v>
      </c>
      <c r="G32" s="318">
        <f>IFERROR(IF(AND(VRAGENLIJST!$H$120&gt;0,VRAGENLIJST!$H$120/VRAGENLIJST!$H$124+IFERROR(VLOOKUP(VRAGENLIJST!$H$126,dropdowns!$B$32:$F$67,5,FALSE),VLOOKUP(VRAGENLIJST!$H$126,dropdowns!$C$32:$F$67,4,FALSE))&gt;G3),VRAGENLIJST!$H$122,0),0)+IFERROR(IF(AND(VRAGENLIJST!$H$128&gt;0,VRAGENLIJST!$H$128/VRAGENLIJST!$H$132+IFERROR(VLOOKUP(VRAGENLIJST!$H$134,dropdowns!$B$32:$F$67,5,FALSE),VLOOKUP(VRAGENLIJST!$H$134,dropdowns!$C$32:$F$67,4,FALSE))&gt;G3),VRAGENLIJST!$H$130,0),0)</f>
        <v>0</v>
      </c>
      <c r="H32" s="318">
        <f>IFERROR(IF(AND(VRAGENLIJST!$H$120&gt;0,VRAGENLIJST!$H$120/VRAGENLIJST!$H$124+IFERROR(VLOOKUP(VRAGENLIJST!$H$126,dropdowns!$B$32:$F$67,5,FALSE),VLOOKUP(VRAGENLIJST!$H$126,dropdowns!$C$32:$F$67,4,FALSE))&gt;H3),VRAGENLIJST!$H$122,0),0)+IFERROR(IF(AND(VRAGENLIJST!$H$128&gt;0,VRAGENLIJST!$H$128/VRAGENLIJST!$H$132+IFERROR(VLOOKUP(VRAGENLIJST!$H$134,dropdowns!$B$32:$F$67,5,FALSE),VLOOKUP(VRAGENLIJST!$H$134,dropdowns!$C$32:$F$67,4,FALSE))&gt;H3),VRAGENLIJST!$H$130,0),0)</f>
        <v>0</v>
      </c>
      <c r="I32" s="318">
        <f>IFERROR(IF(AND(VRAGENLIJST!$H$120&gt;0,VRAGENLIJST!$H$120/VRAGENLIJST!$H$124+IFERROR(VLOOKUP(VRAGENLIJST!$H$126,dropdowns!$B$32:$F$67,5,FALSE),VLOOKUP(VRAGENLIJST!$H$126,dropdowns!$C$32:$F$67,4,FALSE))&gt;I3),VRAGENLIJST!$H$122,0),0)+IFERROR(IF(AND(VRAGENLIJST!$H$128&gt;0,VRAGENLIJST!$H$128/VRAGENLIJST!$H$132+IFERROR(VLOOKUP(VRAGENLIJST!$H$134,dropdowns!$B$32:$F$67,5,FALSE),VLOOKUP(VRAGENLIJST!$H$134,dropdowns!$C$32:$F$67,4,FALSE))&gt;I3),VRAGENLIJST!$H$130,0),0)</f>
        <v>0</v>
      </c>
      <c r="J32" s="318">
        <f>IFERROR(IF(AND(VRAGENLIJST!$H$120&gt;0,VRAGENLIJST!$H$120/VRAGENLIJST!$H$124+IFERROR(VLOOKUP(VRAGENLIJST!$H$126,dropdowns!$B$32:$F$67,5,FALSE),VLOOKUP(VRAGENLIJST!$H$126,dropdowns!$C$32:$F$67,4,FALSE))&gt;J3),VRAGENLIJST!$H$122,0),0)+IFERROR(IF(AND(VRAGENLIJST!$H$128&gt;0,VRAGENLIJST!$H$128/VRAGENLIJST!$H$132+IFERROR(VLOOKUP(VRAGENLIJST!$H$134,dropdowns!$B$32:$F$67,5,FALSE),VLOOKUP(VRAGENLIJST!$H$134,dropdowns!$C$32:$F$67,4,FALSE))&gt;J3),VRAGENLIJST!$H$130,0),0)</f>
        <v>0</v>
      </c>
      <c r="K32" s="318">
        <f>IFERROR(IF(AND(VRAGENLIJST!$H$120&gt;0,VRAGENLIJST!$H$120/VRAGENLIJST!$H$124+IFERROR(VLOOKUP(VRAGENLIJST!$H$126,dropdowns!$B$32:$F$67,5,FALSE),VLOOKUP(VRAGENLIJST!$H$126,dropdowns!$C$32:$F$67,4,FALSE))&gt;K3),VRAGENLIJST!$H$122,0),0)+IFERROR(IF(AND(VRAGENLIJST!$H$128&gt;0,VRAGENLIJST!$H$128/VRAGENLIJST!$H$132+IFERROR(VLOOKUP(VRAGENLIJST!$H$134,dropdowns!$B$32:$F$67,5,FALSE),VLOOKUP(VRAGENLIJST!$H$134,dropdowns!$C$32:$F$67,4,FALSE))&gt;K3),VRAGENLIJST!$H$130,0),0)</f>
        <v>0</v>
      </c>
      <c r="L32" s="318">
        <f>IFERROR(IF(AND(VRAGENLIJST!$H$120&gt;0,VRAGENLIJST!$H$120/VRAGENLIJST!$H$124+IFERROR(VLOOKUP(VRAGENLIJST!$H$126,dropdowns!$B$32:$F$67,5,FALSE),VLOOKUP(VRAGENLIJST!$H$126,dropdowns!$C$32:$F$67,4,FALSE))&gt;L3),VRAGENLIJST!$H$122,0),0)+IFERROR(IF(AND(VRAGENLIJST!$H$128&gt;0,VRAGENLIJST!$H$128/VRAGENLIJST!$H$132+IFERROR(VLOOKUP(VRAGENLIJST!$H$134,dropdowns!$B$32:$F$67,5,FALSE),VLOOKUP(VRAGENLIJST!$H$134,dropdowns!$C$32:$F$67,4,FALSE))&gt;L3),VRAGENLIJST!$H$130,0),0)</f>
        <v>0</v>
      </c>
      <c r="M32" s="318">
        <f>IFERROR(IF(AND(VRAGENLIJST!$H$120&gt;0,VRAGENLIJST!$H$120/VRAGENLIJST!$H$124+IFERROR(VLOOKUP(VRAGENLIJST!$H$126,dropdowns!$B$32:$F$67,5,FALSE),VLOOKUP(VRAGENLIJST!$H$126,dropdowns!$C$32:$F$67,4,FALSE))&gt;M3),VRAGENLIJST!$H$122,0),0)+IFERROR(IF(AND(VRAGENLIJST!$H$128&gt;0,VRAGENLIJST!$H$128/VRAGENLIJST!$H$132+IFERROR(VLOOKUP(VRAGENLIJST!$H$134,dropdowns!$B$32:$F$67,5,FALSE),VLOOKUP(VRAGENLIJST!$H$134,dropdowns!$C$32:$F$67,4,FALSE))&gt;M3),VRAGENLIJST!$H$130,0),0)</f>
        <v>0</v>
      </c>
      <c r="N32" s="318">
        <f>IFERROR(IF(AND(VRAGENLIJST!$H$120&gt;0,VRAGENLIJST!$H$120/VRAGENLIJST!$H$124+IFERROR(VLOOKUP(VRAGENLIJST!$H$126,dropdowns!$B$32:$F$67,5,FALSE),VLOOKUP(VRAGENLIJST!$H$126,dropdowns!$C$32:$F$67,4,FALSE))&gt;N3),VRAGENLIJST!$H$122,0),0)+IFERROR(IF(AND(VRAGENLIJST!$H$128&gt;0,VRAGENLIJST!$H$128/VRAGENLIJST!$H$132+IFERROR(VLOOKUP(VRAGENLIJST!$H$134,dropdowns!$B$32:$F$67,5,FALSE),VLOOKUP(VRAGENLIJST!$H$134,dropdowns!$C$32:$F$67,4,FALSE))&gt;N3),VRAGENLIJST!$H$130,0),0)</f>
        <v>0</v>
      </c>
      <c r="O32" s="318">
        <f>IFERROR(IF(AND(VRAGENLIJST!$H$120&gt;0,VRAGENLIJST!$H$120/VRAGENLIJST!$H$124+IFERROR(VLOOKUP(VRAGENLIJST!$H$126,dropdowns!$B$32:$F$67,5,FALSE),VLOOKUP(VRAGENLIJST!$H$126,dropdowns!$C$32:$F$67,4,FALSE))&gt;O3),VRAGENLIJST!$H$122,0),0)+IFERROR(IF(AND(VRAGENLIJST!$H$128&gt;0,VRAGENLIJST!$H$128/VRAGENLIJST!$H$132+IFERROR(VLOOKUP(VRAGENLIJST!$H$134,dropdowns!$B$32:$F$67,5,FALSE),VLOOKUP(VRAGENLIJST!$H$134,dropdowns!$C$32:$F$67,4,FALSE))&gt;O3),VRAGENLIJST!$H$130,0),0)</f>
        <v>0</v>
      </c>
      <c r="P32" s="320">
        <f>SUM(D32:O32)</f>
        <v>0</v>
      </c>
      <c r="Q32" s="318">
        <f>IFERROR(IF(AND(VRAGENLIJST!$H$120&gt;0,VRAGENLIJST!$H$120/VRAGENLIJST!$H$124+IFERROR(VLOOKUP(VRAGENLIJST!$H$126,dropdowns!$B$32:$F$67,5,FALSE),VLOOKUP(VRAGENLIJST!$H$126,dropdowns!$C$32:$F$67,4,FALSE))&gt;Q3),VRAGENLIJST!$H$122,0),0)+IFERROR(IF(AND(VRAGENLIJST!$H$128&gt;0,VRAGENLIJST!$H$128/VRAGENLIJST!$H$132+IFERROR(VLOOKUP(VRAGENLIJST!$H$134,dropdowns!$B$32:$F$67,5,FALSE),VLOOKUP(VRAGENLIJST!$H$134,dropdowns!$C$32:$F$67,4,FALSE))&gt;Q3),VRAGENLIJST!$H$130,0),0)</f>
        <v>0</v>
      </c>
      <c r="R32" s="318">
        <f>IFERROR(IF(AND(VRAGENLIJST!$H$120&gt;0,VRAGENLIJST!$H$120/VRAGENLIJST!$H$124+IFERROR(VLOOKUP(VRAGENLIJST!$H$126,dropdowns!$B$32:$F$67,5,FALSE),VLOOKUP(VRAGENLIJST!$H$126,dropdowns!$C$32:$F$67,4,FALSE))&gt;R3),VRAGENLIJST!$H$122,0),0)+IFERROR(IF(AND(VRAGENLIJST!$H$128&gt;0,VRAGENLIJST!$H$128/VRAGENLIJST!$H$132+IFERROR(VLOOKUP(VRAGENLIJST!$H$134,dropdowns!$B$32:$F$67,5,FALSE),VLOOKUP(VRAGENLIJST!$H$134,dropdowns!$C$32:$F$67,4,FALSE))&gt;R3),VRAGENLIJST!$H$130,0),0)</f>
        <v>0</v>
      </c>
      <c r="S32" s="318">
        <f>IFERROR(IF(AND(VRAGENLIJST!$H$120&gt;0,VRAGENLIJST!$H$120/VRAGENLIJST!$H$124+IFERROR(VLOOKUP(VRAGENLIJST!$H$126,dropdowns!$B$32:$F$67,5,FALSE),VLOOKUP(VRAGENLIJST!$H$126,dropdowns!$C$32:$F$67,4,FALSE))&gt;S3),VRAGENLIJST!$H$122,0),0)+IFERROR(IF(AND(VRAGENLIJST!$H$128&gt;0,VRAGENLIJST!$H$128/VRAGENLIJST!$H$132+IFERROR(VLOOKUP(VRAGENLIJST!$H$134,dropdowns!$B$32:$F$67,5,FALSE),VLOOKUP(VRAGENLIJST!$H$134,dropdowns!$C$32:$F$67,4,FALSE))&gt;S3),VRAGENLIJST!$H$130,0),0)</f>
        <v>0</v>
      </c>
      <c r="T32" s="318">
        <f>IFERROR(IF(AND(VRAGENLIJST!$H$120&gt;0,VRAGENLIJST!$H$120/VRAGENLIJST!$H$124+IFERROR(VLOOKUP(VRAGENLIJST!$H$126,dropdowns!$B$32:$F$67,5,FALSE),VLOOKUP(VRAGENLIJST!$H$126,dropdowns!$C$32:$F$67,4,FALSE))&gt;T3),VRAGENLIJST!$H$122,0),0)+IFERROR(IF(AND(VRAGENLIJST!$H$128&gt;0,VRAGENLIJST!$H$128/VRAGENLIJST!$H$132+IFERROR(VLOOKUP(VRAGENLIJST!$H$134,dropdowns!$B$32:$F$67,5,FALSE),VLOOKUP(VRAGENLIJST!$H$134,dropdowns!$C$32:$F$67,4,FALSE))&gt;T3),VRAGENLIJST!$H$130,0),0)</f>
        <v>0</v>
      </c>
      <c r="U32" s="318">
        <f>IFERROR(IF(AND(VRAGENLIJST!$H$120&gt;0,VRAGENLIJST!$H$120/VRAGENLIJST!$H$124+IFERROR(VLOOKUP(VRAGENLIJST!$H$126,dropdowns!$B$32:$F$67,5,FALSE),VLOOKUP(VRAGENLIJST!$H$126,dropdowns!$C$32:$F$67,4,FALSE))&gt;U3),VRAGENLIJST!$H$122,0),0)+IFERROR(IF(AND(VRAGENLIJST!$H$128&gt;0,VRAGENLIJST!$H$128/VRAGENLIJST!$H$132+IFERROR(VLOOKUP(VRAGENLIJST!$H$134,dropdowns!$B$32:$F$67,5,FALSE),VLOOKUP(VRAGENLIJST!$H$134,dropdowns!$C$32:$F$67,4,FALSE))&gt;U3),VRAGENLIJST!$H$130,0),0)</f>
        <v>0</v>
      </c>
      <c r="V32" s="318">
        <f>IFERROR(IF(AND(VRAGENLIJST!$H$120&gt;0,VRAGENLIJST!$H$120/VRAGENLIJST!$H$124+IFERROR(VLOOKUP(VRAGENLIJST!$H$126,dropdowns!$B$32:$F$67,5,FALSE),VLOOKUP(VRAGENLIJST!$H$126,dropdowns!$C$32:$F$67,4,FALSE))&gt;V3),VRAGENLIJST!$H$122,0),0)+IFERROR(IF(AND(VRAGENLIJST!$H$128&gt;0,VRAGENLIJST!$H$128/VRAGENLIJST!$H$132+IFERROR(VLOOKUP(VRAGENLIJST!$H$134,dropdowns!$B$32:$F$67,5,FALSE),VLOOKUP(VRAGENLIJST!$H$134,dropdowns!$C$32:$F$67,4,FALSE))&gt;V3),VRAGENLIJST!$H$130,0),0)</f>
        <v>0</v>
      </c>
      <c r="W32" s="318">
        <f>IFERROR(IF(AND(VRAGENLIJST!$H$120&gt;0,VRAGENLIJST!$H$120/VRAGENLIJST!$H$124+IFERROR(VLOOKUP(VRAGENLIJST!$H$126,dropdowns!$B$32:$F$67,5,FALSE),VLOOKUP(VRAGENLIJST!$H$126,dropdowns!$C$32:$F$67,4,FALSE))&gt;W3),VRAGENLIJST!$H$122,0),0)+IFERROR(IF(AND(VRAGENLIJST!$H$128&gt;0,VRAGENLIJST!$H$128/VRAGENLIJST!$H$132+IFERROR(VLOOKUP(VRAGENLIJST!$H$134,dropdowns!$B$32:$F$67,5,FALSE),VLOOKUP(VRAGENLIJST!$H$134,dropdowns!$C$32:$F$67,4,FALSE))&gt;W3),VRAGENLIJST!$H$130,0),0)</f>
        <v>0</v>
      </c>
      <c r="X32" s="318">
        <f>IFERROR(IF(AND(VRAGENLIJST!$H$120&gt;0,VRAGENLIJST!$H$120/VRAGENLIJST!$H$124+IFERROR(VLOOKUP(VRAGENLIJST!$H$126,dropdowns!$B$32:$F$67,5,FALSE),VLOOKUP(VRAGENLIJST!$H$126,dropdowns!$C$32:$F$67,4,FALSE))&gt;X3),VRAGENLIJST!$H$122,0),0)+IFERROR(IF(AND(VRAGENLIJST!$H$128&gt;0,VRAGENLIJST!$H$128/VRAGENLIJST!$H$132+IFERROR(VLOOKUP(VRAGENLIJST!$H$134,dropdowns!$B$32:$F$67,5,FALSE),VLOOKUP(VRAGENLIJST!$H$134,dropdowns!$C$32:$F$67,4,FALSE))&gt;X3),VRAGENLIJST!$H$130,0),0)</f>
        <v>0</v>
      </c>
      <c r="Y32" s="318">
        <f>IFERROR(IF(AND(VRAGENLIJST!$H$120&gt;0,VRAGENLIJST!$H$120/VRAGENLIJST!$H$124+IFERROR(VLOOKUP(VRAGENLIJST!$H$126,dropdowns!$B$32:$F$67,5,FALSE),VLOOKUP(VRAGENLIJST!$H$126,dropdowns!$C$32:$F$67,4,FALSE))&gt;Y3),VRAGENLIJST!$H$122,0),0)+IFERROR(IF(AND(VRAGENLIJST!$H$128&gt;0,VRAGENLIJST!$H$128/VRAGENLIJST!$H$132+IFERROR(VLOOKUP(VRAGENLIJST!$H$134,dropdowns!$B$32:$F$67,5,FALSE),VLOOKUP(VRAGENLIJST!$H$134,dropdowns!$C$32:$F$67,4,FALSE))&gt;Y3),VRAGENLIJST!$H$130,0),0)</f>
        <v>0</v>
      </c>
      <c r="Z32" s="318">
        <f>IFERROR(IF(AND(VRAGENLIJST!$H$120&gt;0,VRAGENLIJST!$H$120/VRAGENLIJST!$H$124+IFERROR(VLOOKUP(VRAGENLIJST!$H$126,dropdowns!$B$32:$F$67,5,FALSE),VLOOKUP(VRAGENLIJST!$H$126,dropdowns!$C$32:$F$67,4,FALSE))&gt;Z3),VRAGENLIJST!$H$122,0),0)+IFERROR(IF(AND(VRAGENLIJST!$H$128&gt;0,VRAGENLIJST!$H$128/VRAGENLIJST!$H$132+IFERROR(VLOOKUP(VRAGENLIJST!$H$134,dropdowns!$B$32:$F$67,5,FALSE),VLOOKUP(VRAGENLIJST!$H$134,dropdowns!$C$32:$F$67,4,FALSE))&gt;Z3),VRAGENLIJST!$H$130,0),0)</f>
        <v>0</v>
      </c>
      <c r="AA32" s="318">
        <f>IFERROR(IF(AND(VRAGENLIJST!$H$120&gt;0,VRAGENLIJST!$H$120/VRAGENLIJST!$H$124+IFERROR(VLOOKUP(VRAGENLIJST!$H$126,dropdowns!$B$32:$F$67,5,FALSE),VLOOKUP(VRAGENLIJST!$H$126,dropdowns!$C$32:$F$67,4,FALSE))&gt;AA3),VRAGENLIJST!$H$122,0),0)+IFERROR(IF(AND(VRAGENLIJST!$H$128&gt;0,VRAGENLIJST!$H$128/VRAGENLIJST!$H$132+IFERROR(VLOOKUP(VRAGENLIJST!$H$134,dropdowns!$B$32:$F$67,5,FALSE),VLOOKUP(VRAGENLIJST!$H$134,dropdowns!$C$32:$F$67,4,FALSE))&gt;AA3),VRAGENLIJST!$H$130,0),0)</f>
        <v>0</v>
      </c>
      <c r="AB32" s="318">
        <f>IFERROR(IF(AND(VRAGENLIJST!$H$120&gt;0,VRAGENLIJST!$H$120/VRAGENLIJST!$H$124+IFERROR(VLOOKUP(VRAGENLIJST!$H$126,dropdowns!$B$32:$F$67,5,FALSE),VLOOKUP(VRAGENLIJST!$H$126,dropdowns!$C$32:$F$67,4,FALSE))&gt;AB3),VRAGENLIJST!$H$122,0),0)+IFERROR(IF(AND(VRAGENLIJST!$H$128&gt;0,VRAGENLIJST!$H$128/VRAGENLIJST!$H$132+IFERROR(VLOOKUP(VRAGENLIJST!$H$134,dropdowns!$B$32:$F$67,5,FALSE),VLOOKUP(VRAGENLIJST!$H$134,dropdowns!$C$32:$F$67,4,FALSE))&gt;AB3),VRAGENLIJST!$H$130,0),0)</f>
        <v>0</v>
      </c>
      <c r="AC32" s="320">
        <f t="shared" si="5"/>
        <v>0</v>
      </c>
      <c r="AD32" s="318">
        <f>IFERROR(IF(AND(VRAGENLIJST!$H$120&gt;0,VRAGENLIJST!$H$120/VRAGENLIJST!$H$124+IFERROR(VLOOKUP(VRAGENLIJST!$H$126,dropdowns!$B$32:$F$67,5,FALSE),VLOOKUP(VRAGENLIJST!$H$126,dropdowns!$C$32:$F$67,4,FALSE))&gt;AD3),VRAGENLIJST!$H$122,0),0)+IFERROR(IF(AND(VRAGENLIJST!$H$128&gt;0,VRAGENLIJST!$H$128/VRAGENLIJST!$H$132+IFERROR(VLOOKUP(VRAGENLIJST!$H$134,dropdowns!$B$32:$F$67,5,FALSE),VLOOKUP(VRAGENLIJST!$H$134,dropdowns!$C$32:$F$67,4,FALSE))&gt;AD3),VRAGENLIJST!$H$130,0),0)</f>
        <v>0</v>
      </c>
      <c r="AE32" s="318">
        <f>IFERROR(IF(AND(VRAGENLIJST!$H$120&gt;0,VRAGENLIJST!$H$120/VRAGENLIJST!$H$124+IFERROR(VLOOKUP(VRAGENLIJST!$H$126,dropdowns!$B$32:$F$67,5,FALSE),VLOOKUP(VRAGENLIJST!$H$126,dropdowns!$C$32:$F$67,4,FALSE))&gt;AE3),VRAGENLIJST!$H$122,0),0)+IFERROR(IF(AND(VRAGENLIJST!$H$128&gt;0,VRAGENLIJST!$H$128/VRAGENLIJST!$H$132+IFERROR(VLOOKUP(VRAGENLIJST!$H$134,dropdowns!$B$32:$F$67,5,FALSE),VLOOKUP(VRAGENLIJST!$H$134,dropdowns!$C$32:$F$67,4,FALSE))&gt;AE3),VRAGENLIJST!$H$130,0),0)</f>
        <v>0</v>
      </c>
      <c r="AF32" s="318">
        <f>IFERROR(IF(AND(VRAGENLIJST!$H$120&gt;0,VRAGENLIJST!$H$120/VRAGENLIJST!$H$124+IFERROR(VLOOKUP(VRAGENLIJST!$H$126,dropdowns!$B$32:$F$67,5,FALSE),VLOOKUP(VRAGENLIJST!$H$126,dropdowns!$C$32:$F$67,4,FALSE))&gt;AF3),VRAGENLIJST!$H$122,0),0)+IFERROR(IF(AND(VRAGENLIJST!$H$128&gt;0,VRAGENLIJST!$H$128/VRAGENLIJST!$H$132+IFERROR(VLOOKUP(VRAGENLIJST!$H$134,dropdowns!$B$32:$F$67,5,FALSE),VLOOKUP(VRAGENLIJST!$H$134,dropdowns!$C$32:$F$67,4,FALSE))&gt;AF3),VRAGENLIJST!$H$130,0),0)</f>
        <v>0</v>
      </c>
      <c r="AG32" s="318">
        <f>IFERROR(IF(AND(VRAGENLIJST!$H$120&gt;0,VRAGENLIJST!$H$120/VRAGENLIJST!$H$124+IFERROR(VLOOKUP(VRAGENLIJST!$H$126,dropdowns!$B$32:$F$67,5,FALSE),VLOOKUP(VRAGENLIJST!$H$126,dropdowns!$C$32:$F$67,4,FALSE))&gt;AG3),VRAGENLIJST!$H$122,0),0)+IFERROR(IF(AND(VRAGENLIJST!$H$128&gt;0,VRAGENLIJST!$H$128/VRAGENLIJST!$H$132+IFERROR(VLOOKUP(VRAGENLIJST!$H$134,dropdowns!$B$32:$F$67,5,FALSE),VLOOKUP(VRAGENLIJST!$H$134,dropdowns!$C$32:$F$67,4,FALSE))&gt;AG3),VRAGENLIJST!$H$130,0),0)</f>
        <v>0</v>
      </c>
      <c r="AH32" s="318">
        <f>IFERROR(IF(AND(VRAGENLIJST!$H$120&gt;0,VRAGENLIJST!$H$120/VRAGENLIJST!$H$124+IFERROR(VLOOKUP(VRAGENLIJST!$H$126,dropdowns!$B$32:$F$67,5,FALSE),VLOOKUP(VRAGENLIJST!$H$126,dropdowns!$C$32:$F$67,4,FALSE))&gt;AH3),VRAGENLIJST!$H$122,0),0)+IFERROR(IF(AND(VRAGENLIJST!$H$128&gt;0,VRAGENLIJST!$H$128/VRAGENLIJST!$H$132+IFERROR(VLOOKUP(VRAGENLIJST!$H$134,dropdowns!$B$32:$F$67,5,FALSE),VLOOKUP(VRAGENLIJST!$H$134,dropdowns!$C$32:$F$67,4,FALSE))&gt;AH3),VRAGENLIJST!$H$130,0),0)</f>
        <v>0</v>
      </c>
      <c r="AI32" s="318">
        <f>IFERROR(IF(AND(VRAGENLIJST!$H$120&gt;0,VRAGENLIJST!$H$120/VRAGENLIJST!$H$124+IFERROR(VLOOKUP(VRAGENLIJST!$H$126,dropdowns!$B$32:$F$67,5,FALSE),VLOOKUP(VRAGENLIJST!$H$126,dropdowns!$C$32:$F$67,4,FALSE))&gt;AI3),VRAGENLIJST!$H$122,0),0)+IFERROR(IF(AND(VRAGENLIJST!$H$128&gt;0,VRAGENLIJST!$H$128/VRAGENLIJST!$H$132+IFERROR(VLOOKUP(VRAGENLIJST!$H$134,dropdowns!$B$32:$F$67,5,FALSE),VLOOKUP(VRAGENLIJST!$H$134,dropdowns!$C$32:$F$67,4,FALSE))&gt;AI3),VRAGENLIJST!$H$130,0),0)</f>
        <v>0</v>
      </c>
      <c r="AJ32" s="318">
        <f>IFERROR(IF(AND(VRAGENLIJST!$H$120&gt;0,VRAGENLIJST!$H$120/VRAGENLIJST!$H$124+IFERROR(VLOOKUP(VRAGENLIJST!$H$126,dropdowns!$B$32:$F$67,5,FALSE),VLOOKUP(VRAGENLIJST!$H$126,dropdowns!$C$32:$F$67,4,FALSE))&gt;AJ3),VRAGENLIJST!$H$122,0),0)+IFERROR(IF(AND(VRAGENLIJST!$H$128&gt;0,VRAGENLIJST!$H$128/VRAGENLIJST!$H$132+IFERROR(VLOOKUP(VRAGENLIJST!$H$134,dropdowns!$B$32:$F$67,5,FALSE),VLOOKUP(VRAGENLIJST!$H$134,dropdowns!$C$32:$F$67,4,FALSE))&gt;AJ3),VRAGENLIJST!$H$130,0),0)</f>
        <v>0</v>
      </c>
      <c r="AK32" s="318">
        <f>IFERROR(IF(AND(VRAGENLIJST!$H$120&gt;0,VRAGENLIJST!$H$120/VRAGENLIJST!$H$124+IFERROR(VLOOKUP(VRAGENLIJST!$H$126,dropdowns!$B$32:$F$67,5,FALSE),VLOOKUP(VRAGENLIJST!$H$126,dropdowns!$C$32:$F$67,4,FALSE))&gt;AK3),VRAGENLIJST!$H$122,0),0)+IFERROR(IF(AND(VRAGENLIJST!$H$128&gt;0,VRAGENLIJST!$H$128/VRAGENLIJST!$H$132+IFERROR(VLOOKUP(VRAGENLIJST!$H$134,dropdowns!$B$32:$F$67,5,FALSE),VLOOKUP(VRAGENLIJST!$H$134,dropdowns!$C$32:$F$67,4,FALSE))&gt;AK3),VRAGENLIJST!$H$130,0),0)</f>
        <v>0</v>
      </c>
      <c r="AL32" s="318">
        <f>IFERROR(IF(AND(VRAGENLIJST!$H$120&gt;0,VRAGENLIJST!$H$120/VRAGENLIJST!$H$124+IFERROR(VLOOKUP(VRAGENLIJST!$H$126,dropdowns!$B$32:$F$67,5,FALSE),VLOOKUP(VRAGENLIJST!$H$126,dropdowns!$C$32:$F$67,4,FALSE))&gt;AL3),VRAGENLIJST!$H$122,0),0)+IFERROR(IF(AND(VRAGENLIJST!$H$128&gt;0,VRAGENLIJST!$H$128/VRAGENLIJST!$H$132+IFERROR(VLOOKUP(VRAGENLIJST!$H$134,dropdowns!$B$32:$F$67,5,FALSE),VLOOKUP(VRAGENLIJST!$H$134,dropdowns!$C$32:$F$67,4,FALSE))&gt;AL3),VRAGENLIJST!$H$130,0),0)</f>
        <v>0</v>
      </c>
      <c r="AM32" s="318">
        <f>IFERROR(IF(AND(VRAGENLIJST!$H$120&gt;0,VRAGENLIJST!$H$120/VRAGENLIJST!$H$124+IFERROR(VLOOKUP(VRAGENLIJST!$H$126,dropdowns!$B$32:$F$67,5,FALSE),VLOOKUP(VRAGENLIJST!$H$126,dropdowns!$C$32:$F$67,4,FALSE))&gt;AM3),VRAGENLIJST!$H$122,0),0)+IFERROR(IF(AND(VRAGENLIJST!$H$128&gt;0,VRAGENLIJST!$H$128/VRAGENLIJST!$H$132+IFERROR(VLOOKUP(VRAGENLIJST!$H$134,dropdowns!$B$32:$F$67,5,FALSE),VLOOKUP(VRAGENLIJST!$H$134,dropdowns!$C$32:$F$67,4,FALSE))&gt;AM3),VRAGENLIJST!$H$130,0),0)</f>
        <v>0</v>
      </c>
      <c r="AN32" s="318">
        <f>IFERROR(IF(AND(VRAGENLIJST!$H$120&gt;0,VRAGENLIJST!$H$120/VRAGENLIJST!$H$124+IFERROR(VLOOKUP(VRAGENLIJST!$H$126,dropdowns!$B$32:$F$67,5,FALSE),VLOOKUP(VRAGENLIJST!$H$126,dropdowns!$C$32:$F$67,4,FALSE))&gt;AN3),VRAGENLIJST!$H$122,0),0)+IFERROR(IF(AND(VRAGENLIJST!$H$128&gt;0,VRAGENLIJST!$H$128/VRAGENLIJST!$H$132+IFERROR(VLOOKUP(VRAGENLIJST!$H$134,dropdowns!$B$32:$F$67,5,FALSE),VLOOKUP(VRAGENLIJST!$H$134,dropdowns!$C$32:$F$67,4,FALSE))&gt;AN3),VRAGENLIJST!$H$130,0),0)</f>
        <v>0</v>
      </c>
      <c r="AO32" s="318">
        <f>IFERROR(IF(AND(VRAGENLIJST!$H$120&gt;0,VRAGENLIJST!$H$120/VRAGENLIJST!$H$124+IFERROR(VLOOKUP(VRAGENLIJST!$H$126,dropdowns!$B$32:$F$67,5,FALSE),VLOOKUP(VRAGENLIJST!$H$126,dropdowns!$C$32:$F$67,4,FALSE))&gt;AO3),VRAGENLIJST!$H$122,0),0)+IFERROR(IF(AND(VRAGENLIJST!$H$128&gt;0,VRAGENLIJST!$H$128/VRAGENLIJST!$H$132+IFERROR(VLOOKUP(VRAGENLIJST!$H$134,dropdowns!$B$32:$F$67,5,FALSE),VLOOKUP(VRAGENLIJST!$H$134,dropdowns!$C$32:$F$67,4,FALSE))&gt;AO3),VRAGENLIJST!$H$130,0),0)</f>
        <v>0</v>
      </c>
      <c r="AP32" s="320">
        <f t="shared" si="6"/>
        <v>0</v>
      </c>
    </row>
    <row r="33" spans="2:42" ht="14.25" customHeight="1" x14ac:dyDescent="0.25">
      <c r="B33" s="317" t="str">
        <f>Vertaling!A292</f>
        <v xml:space="preserve"> Aflossing (excl. Qredits)</v>
      </c>
      <c r="C33" s="319"/>
      <c r="D33" s="318">
        <f>IF(AND(D3&gt;=IF(VRAGENLIJST!$H$126="",0,IFERROR(VLOOKUP(VRAGENLIJST!$H$126,dropdowns!$B$32:$F$69,5,FALSE),(VLOOKUP(VRAGENLIJST!$H$126,dropdowns!$C$32:$F$69,4,FALSE)))),D3&lt;IF(VRAGENLIJST!$H$126="",0,IFERROR(VLOOKUP(VRAGENLIJST!$H$126,dropdowns!$B$32:$F$69,5,FALSE),(VLOOKUP(VRAGENLIJST!$H$126,dropdowns!$C$32:$F$69,4,FALSE))))+IF(VRAGENLIJST!$H$120&gt;0,VRAGENLIJST!$H$120/VRAGENLIJST!$H$124,0)),VRAGENLIJST!$H$124,0)+IF(AND(Liquiditeit!D3&gt;=IF(VRAGENLIJST!$H$134="",0,IFERROR(VLOOKUP(VRAGENLIJST!$H$134,dropdowns!$B$32:$F$69,5,FALSE),(VLOOKUP(VRAGENLIJST!$H$134,dropdowns!$C$32:$F$69,4,FALSE)))),Liquiditeit!D3&lt;IF(VRAGENLIJST!$H$134="",0,IFERROR(VLOOKUP(VRAGENLIJST!$H$134,dropdowns!$B$32:$F$69,5,FALSE),(VLOOKUP(VRAGENLIJST!$H$134,dropdowns!$C$32:$F$69,4,FALSE))))+IF(VRAGENLIJST!$H$132&gt;0,VRAGENLIJST!$H$128/VRAGENLIJST!$H$132,0)),VRAGENLIJST!$H$132,0)</f>
        <v>0</v>
      </c>
      <c r="E33" s="318">
        <f>IF(AND(E3&gt;=IF(VRAGENLIJST!$H$126="",0,IFERROR(VLOOKUP(VRAGENLIJST!$H$126,dropdowns!$B$32:$F$69,5,FALSE),(VLOOKUP(VRAGENLIJST!$H$126,dropdowns!$C$32:$F$69,4,FALSE)))),E3&lt;IF(VRAGENLIJST!$H$126="",0,IFERROR(VLOOKUP(VRAGENLIJST!$H$126,dropdowns!$B$32:$F$69,5,FALSE),(VLOOKUP(VRAGENLIJST!$H$126,dropdowns!$C$32:$F$69,4,FALSE))))+IF(VRAGENLIJST!$H$120&gt;0,VRAGENLIJST!$H$120/VRAGENLIJST!$H$124,0)),VRAGENLIJST!$H$124,0)+IF(AND(Liquiditeit!E3&gt;=IF(VRAGENLIJST!$H$134="",0,IFERROR(VLOOKUP(VRAGENLIJST!$H$134,dropdowns!$B$32:$F$69,5,FALSE),(VLOOKUP(VRAGENLIJST!$H$134,dropdowns!$C$32:$F$69,4,FALSE)))),Liquiditeit!E3&lt;IF(VRAGENLIJST!$H$134="",0,IFERROR(VLOOKUP(VRAGENLIJST!$H$134,dropdowns!$B$32:$F$69,5,FALSE),(VLOOKUP(VRAGENLIJST!$H$134,dropdowns!$C$32:$F$69,4,FALSE))))+IF(VRAGENLIJST!$H$132&gt;0,VRAGENLIJST!$H$128/VRAGENLIJST!$H$132,0)),VRAGENLIJST!$H$132,0)</f>
        <v>0</v>
      </c>
      <c r="F33" s="318">
        <f>IF(AND(F3&gt;=IF(VRAGENLIJST!$H$126="",0,IFERROR(VLOOKUP(VRAGENLIJST!$H$126,dropdowns!$B$32:$F$69,5,FALSE),(VLOOKUP(VRAGENLIJST!$H$126,dropdowns!$C$32:$F$69,4,FALSE)))),F3&lt;IF(VRAGENLIJST!$H$126="",0,IFERROR(VLOOKUP(VRAGENLIJST!$H$126,dropdowns!$B$32:$F$69,5,FALSE),(VLOOKUP(VRAGENLIJST!$H$126,dropdowns!$C$32:$F$69,4,FALSE))))+IF(VRAGENLIJST!$H$120&gt;0,VRAGENLIJST!$H$120/VRAGENLIJST!$H$124,0)),VRAGENLIJST!$H$124,0)+IF(AND(Liquiditeit!F3&gt;=IF(VRAGENLIJST!$H$134="",0,IFERROR(VLOOKUP(VRAGENLIJST!$H$134,dropdowns!$B$32:$F$69,5,FALSE),(VLOOKUP(VRAGENLIJST!$H$134,dropdowns!$C$32:$F$69,4,FALSE)))),Liquiditeit!F3&lt;IF(VRAGENLIJST!$H$134="",0,IFERROR(VLOOKUP(VRAGENLIJST!$H$134,dropdowns!$B$32:$F$69,5,FALSE),(VLOOKUP(VRAGENLIJST!$H$134,dropdowns!$C$32:$F$69,4,FALSE))))+IF(VRAGENLIJST!$H$132&gt;0,VRAGENLIJST!$H$128/VRAGENLIJST!$H$132,0)),VRAGENLIJST!$H$132,0)</f>
        <v>0</v>
      </c>
      <c r="G33" s="318">
        <f>IF(AND(G3&gt;=IF(VRAGENLIJST!$H$126="",0,IFERROR(VLOOKUP(VRAGENLIJST!$H$126,dropdowns!$B$32:$F$69,5,FALSE),(VLOOKUP(VRAGENLIJST!$H$126,dropdowns!$C$32:$F$69,4,FALSE)))),G3&lt;IF(VRAGENLIJST!$H$126="",0,IFERROR(VLOOKUP(VRAGENLIJST!$H$126,dropdowns!$B$32:$F$69,5,FALSE),(VLOOKUP(VRAGENLIJST!$H$126,dropdowns!$C$32:$F$69,4,FALSE))))+IF(VRAGENLIJST!$H$120&gt;0,VRAGENLIJST!$H$120/VRAGENLIJST!$H$124,0)),VRAGENLIJST!$H$124,0)+IF(AND(Liquiditeit!G3&gt;=IF(VRAGENLIJST!$H$134="",0,IFERROR(VLOOKUP(VRAGENLIJST!$H$134,dropdowns!$B$32:$F$69,5,FALSE),(VLOOKUP(VRAGENLIJST!$H$134,dropdowns!$C$32:$F$69,4,FALSE)))),Liquiditeit!G3&lt;IF(VRAGENLIJST!$H$134="",0,IFERROR(VLOOKUP(VRAGENLIJST!$H$134,dropdowns!$B$32:$F$69,5,FALSE),(VLOOKUP(VRAGENLIJST!$H$134,dropdowns!$C$32:$F$69,4,FALSE))))+IF(VRAGENLIJST!$H$132&gt;0,VRAGENLIJST!$H$128/VRAGENLIJST!$H$132,0)),VRAGENLIJST!$H$132,0)</f>
        <v>0</v>
      </c>
      <c r="H33" s="318">
        <f>IF(AND(H3&gt;=IF(VRAGENLIJST!$H$126="",0,IFERROR(VLOOKUP(VRAGENLIJST!$H$126,dropdowns!$B$32:$F$69,5,FALSE),(VLOOKUP(VRAGENLIJST!$H$126,dropdowns!$C$32:$F$69,4,FALSE)))),H3&lt;IF(VRAGENLIJST!$H$126="",0,IFERROR(VLOOKUP(VRAGENLIJST!$H$126,dropdowns!$B$32:$F$69,5,FALSE),(VLOOKUP(VRAGENLIJST!$H$126,dropdowns!$C$32:$F$69,4,FALSE))))+IF(VRAGENLIJST!$H$120&gt;0,VRAGENLIJST!$H$120/VRAGENLIJST!$H$124,0)),VRAGENLIJST!$H$124,0)+IF(AND(Liquiditeit!H3&gt;=IF(VRAGENLIJST!$H$134="",0,IFERROR(VLOOKUP(VRAGENLIJST!$H$134,dropdowns!$B$32:$F$69,5,FALSE),(VLOOKUP(VRAGENLIJST!$H$134,dropdowns!$C$32:$F$69,4,FALSE)))),Liquiditeit!H3&lt;IF(VRAGENLIJST!$H$134="",0,IFERROR(VLOOKUP(VRAGENLIJST!$H$134,dropdowns!$B$32:$F$69,5,FALSE),(VLOOKUP(VRAGENLIJST!$H$134,dropdowns!$C$32:$F$69,4,FALSE))))+IF(VRAGENLIJST!$H$132&gt;0,VRAGENLIJST!$H$128/VRAGENLIJST!$H$132,0)),VRAGENLIJST!$H$132,0)</f>
        <v>0</v>
      </c>
      <c r="I33" s="318">
        <f>IF(AND(I3&gt;=IF(VRAGENLIJST!$H$126="",0,IFERROR(VLOOKUP(VRAGENLIJST!$H$126,dropdowns!$B$32:$F$69,5,FALSE),(VLOOKUP(VRAGENLIJST!$H$126,dropdowns!$C$32:$F$69,4,FALSE)))),I3&lt;IF(VRAGENLIJST!$H$126="",0,IFERROR(VLOOKUP(VRAGENLIJST!$H$126,dropdowns!$B$32:$F$69,5,FALSE),(VLOOKUP(VRAGENLIJST!$H$126,dropdowns!$C$32:$F$69,4,FALSE))))+IF(VRAGENLIJST!$H$120&gt;0,VRAGENLIJST!$H$120/VRAGENLIJST!$H$124,0)),VRAGENLIJST!$H$124,0)+IF(AND(Liquiditeit!I3&gt;=IF(VRAGENLIJST!$H$134="",0,IFERROR(VLOOKUP(VRAGENLIJST!$H$134,dropdowns!$B$32:$F$69,5,FALSE),(VLOOKUP(VRAGENLIJST!$H$134,dropdowns!$C$32:$F$69,4,FALSE)))),Liquiditeit!I3&lt;IF(VRAGENLIJST!$H$134="",0,IFERROR(VLOOKUP(VRAGENLIJST!$H$134,dropdowns!$B$32:$F$69,5,FALSE),(VLOOKUP(VRAGENLIJST!$H$134,dropdowns!$C$32:$F$69,4,FALSE))))+IF(VRAGENLIJST!$H$132&gt;0,VRAGENLIJST!$H$128/VRAGENLIJST!$H$132,0)),VRAGENLIJST!$H$132,0)</f>
        <v>0</v>
      </c>
      <c r="J33" s="318">
        <f>IF(AND(J3&gt;=IF(VRAGENLIJST!$H$126="",0,IFERROR(VLOOKUP(VRAGENLIJST!$H$126,dropdowns!$B$32:$F$69,5,FALSE),(VLOOKUP(VRAGENLIJST!$H$126,dropdowns!$C$32:$F$69,4,FALSE)))),J3&lt;IF(VRAGENLIJST!$H$126="",0,IFERROR(VLOOKUP(VRAGENLIJST!$H$126,dropdowns!$B$32:$F$69,5,FALSE),(VLOOKUP(VRAGENLIJST!$H$126,dropdowns!$C$32:$F$69,4,FALSE))))+IF(VRAGENLIJST!$H$120&gt;0,VRAGENLIJST!$H$120/VRAGENLIJST!$H$124,0)),VRAGENLIJST!$H$124,0)+IF(AND(Liquiditeit!J3&gt;=IF(VRAGENLIJST!$H$134="",0,IFERROR(VLOOKUP(VRAGENLIJST!$H$134,dropdowns!$B$32:$F$69,5,FALSE),(VLOOKUP(VRAGENLIJST!$H$134,dropdowns!$C$32:$F$69,4,FALSE)))),Liquiditeit!J3&lt;IF(VRAGENLIJST!$H$134="",0,IFERROR(VLOOKUP(VRAGENLIJST!$H$134,dropdowns!$B$32:$F$69,5,FALSE),(VLOOKUP(VRAGENLIJST!$H$134,dropdowns!$C$32:$F$69,4,FALSE))))+IF(VRAGENLIJST!$H$132&gt;0,VRAGENLIJST!$H$128/VRAGENLIJST!$H$132,0)),VRAGENLIJST!$H$132,0)</f>
        <v>0</v>
      </c>
      <c r="K33" s="318">
        <f>IF(AND(K3&gt;=IF(VRAGENLIJST!$H$126="",0,IFERROR(VLOOKUP(VRAGENLIJST!$H$126,dropdowns!$B$32:$F$69,5,FALSE),(VLOOKUP(VRAGENLIJST!$H$126,dropdowns!$C$32:$F$69,4,FALSE)))),K3&lt;IF(VRAGENLIJST!$H$126="",0,IFERROR(VLOOKUP(VRAGENLIJST!$H$126,dropdowns!$B$32:$F$69,5,FALSE),(VLOOKUP(VRAGENLIJST!$H$126,dropdowns!$C$32:$F$69,4,FALSE))))+IF(VRAGENLIJST!$H$120&gt;0,VRAGENLIJST!$H$120/VRAGENLIJST!$H$124,0)),VRAGENLIJST!$H$124,0)+IF(AND(Liquiditeit!K3&gt;=IF(VRAGENLIJST!$H$134="",0,IFERROR(VLOOKUP(VRAGENLIJST!$H$134,dropdowns!$B$32:$F$69,5,FALSE),(VLOOKUP(VRAGENLIJST!$H$134,dropdowns!$C$32:$F$69,4,FALSE)))),Liquiditeit!K3&lt;IF(VRAGENLIJST!$H$134="",0,IFERROR(VLOOKUP(VRAGENLIJST!$H$134,dropdowns!$B$32:$F$69,5,FALSE),(VLOOKUP(VRAGENLIJST!$H$134,dropdowns!$C$32:$F$69,4,FALSE))))+IF(VRAGENLIJST!$H$132&gt;0,VRAGENLIJST!$H$128/VRAGENLIJST!$H$132,0)),VRAGENLIJST!$H$132,0)</f>
        <v>0</v>
      </c>
      <c r="L33" s="318">
        <f>IF(AND(L3&gt;=IF(VRAGENLIJST!$H$126="",0,IFERROR(VLOOKUP(VRAGENLIJST!$H$126,dropdowns!$B$32:$F$69,5,FALSE),(VLOOKUP(VRAGENLIJST!$H$126,dropdowns!$C$32:$F$69,4,FALSE)))),L3&lt;IF(VRAGENLIJST!$H$126="",0,IFERROR(VLOOKUP(VRAGENLIJST!$H$126,dropdowns!$B$32:$F$69,5,FALSE),(VLOOKUP(VRAGENLIJST!$H$126,dropdowns!$C$32:$F$69,4,FALSE))))+IF(VRAGENLIJST!$H$120&gt;0,VRAGENLIJST!$H$120/VRAGENLIJST!$H$124,0)),VRAGENLIJST!$H$124,0)+IF(AND(Liquiditeit!L3&gt;=IF(VRAGENLIJST!$H$134="",0,IFERROR(VLOOKUP(VRAGENLIJST!$H$134,dropdowns!$B$32:$F$69,5,FALSE),(VLOOKUP(VRAGENLIJST!$H$134,dropdowns!$C$32:$F$69,4,FALSE)))),Liquiditeit!L3&lt;IF(VRAGENLIJST!$H$134="",0,IFERROR(VLOOKUP(VRAGENLIJST!$H$134,dropdowns!$B$32:$F$69,5,FALSE),(VLOOKUP(VRAGENLIJST!$H$134,dropdowns!$C$32:$F$69,4,FALSE))))+IF(VRAGENLIJST!$H$132&gt;0,VRAGENLIJST!$H$128/VRAGENLIJST!$H$132,0)),VRAGENLIJST!$H$132,0)</f>
        <v>0</v>
      </c>
      <c r="M33" s="318">
        <f>IF(AND(M3&gt;=IF(VRAGENLIJST!$H$126="",0,IFERROR(VLOOKUP(VRAGENLIJST!$H$126,dropdowns!$B$32:$F$69,5,FALSE),(VLOOKUP(VRAGENLIJST!$H$126,dropdowns!$C$32:$F$69,4,FALSE)))),M3&lt;IF(VRAGENLIJST!$H$126="",0,IFERROR(VLOOKUP(VRAGENLIJST!$H$126,dropdowns!$B$32:$F$69,5,FALSE),(VLOOKUP(VRAGENLIJST!$H$126,dropdowns!$C$32:$F$69,4,FALSE))))+IF(VRAGENLIJST!$H$120&gt;0,VRAGENLIJST!$H$120/VRAGENLIJST!$H$124,0)),VRAGENLIJST!$H$124,0)+IF(AND(Liquiditeit!M3&gt;=IF(VRAGENLIJST!$H$134="",0,IFERROR(VLOOKUP(VRAGENLIJST!$H$134,dropdowns!$B$32:$F$69,5,FALSE),(VLOOKUP(VRAGENLIJST!$H$134,dropdowns!$C$32:$F$69,4,FALSE)))),Liquiditeit!M3&lt;IF(VRAGENLIJST!$H$134="",0,IFERROR(VLOOKUP(VRAGENLIJST!$H$134,dropdowns!$B$32:$F$69,5,FALSE),(VLOOKUP(VRAGENLIJST!$H$134,dropdowns!$C$32:$F$69,4,FALSE))))+IF(VRAGENLIJST!$H$132&gt;0,VRAGENLIJST!$H$128/VRAGENLIJST!$H$132,0)),VRAGENLIJST!$H$132,0)</f>
        <v>0</v>
      </c>
      <c r="N33" s="318">
        <f>IF(AND(N3&gt;=IF(VRAGENLIJST!$H$126="",0,IFERROR(VLOOKUP(VRAGENLIJST!$H$126,dropdowns!$B$32:$F$69,5,FALSE),(VLOOKUP(VRAGENLIJST!$H$126,dropdowns!$C$32:$F$69,4,FALSE)))),N3&lt;IF(VRAGENLIJST!$H$126="",0,IFERROR(VLOOKUP(VRAGENLIJST!$H$126,dropdowns!$B$32:$F$69,5,FALSE),(VLOOKUP(VRAGENLIJST!$H$126,dropdowns!$C$32:$F$69,4,FALSE))))+IF(VRAGENLIJST!$H$120&gt;0,VRAGENLIJST!$H$120/VRAGENLIJST!$H$124,0)),VRAGENLIJST!$H$124,0)+IF(AND(Liquiditeit!N3&gt;=IF(VRAGENLIJST!$H$134="",0,IFERROR(VLOOKUP(VRAGENLIJST!$H$134,dropdowns!$B$32:$F$69,5,FALSE),(VLOOKUP(VRAGENLIJST!$H$134,dropdowns!$C$32:$F$69,4,FALSE)))),Liquiditeit!N3&lt;IF(VRAGENLIJST!$H$134="",0,IFERROR(VLOOKUP(VRAGENLIJST!$H$134,dropdowns!$B$32:$F$69,5,FALSE),(VLOOKUP(VRAGENLIJST!$H$134,dropdowns!$C$32:$F$69,4,FALSE))))+IF(VRAGENLIJST!$H$132&gt;0,VRAGENLIJST!$H$128/VRAGENLIJST!$H$132,0)),VRAGENLIJST!$H$132,0)</f>
        <v>0</v>
      </c>
      <c r="O33" s="318">
        <f>IF(AND(O3&gt;=IF(VRAGENLIJST!$H$126="",0,IFERROR(VLOOKUP(VRAGENLIJST!$H$126,dropdowns!$B$32:$F$69,5,FALSE),(VLOOKUP(VRAGENLIJST!$H$126,dropdowns!$C$32:$F$69,4,FALSE)))),O3&lt;IF(VRAGENLIJST!$H$126="",0,IFERROR(VLOOKUP(VRAGENLIJST!$H$126,dropdowns!$B$32:$F$69,5,FALSE),(VLOOKUP(VRAGENLIJST!$H$126,dropdowns!$C$32:$F$69,4,FALSE))))+IF(VRAGENLIJST!$H$120&gt;0,VRAGENLIJST!$H$120/VRAGENLIJST!$H$124,0)),VRAGENLIJST!$H$124,0)+IF(AND(Liquiditeit!O3&gt;=IF(VRAGENLIJST!$H$134="",0,IFERROR(VLOOKUP(VRAGENLIJST!$H$134,dropdowns!$B$32:$F$69,5,FALSE),(VLOOKUP(VRAGENLIJST!$H$134,dropdowns!$C$32:$F$69,4,FALSE)))),Liquiditeit!O3&lt;IF(VRAGENLIJST!$H$134="",0,IFERROR(VLOOKUP(VRAGENLIJST!$H$134,dropdowns!$B$32:$F$69,5,FALSE),(VLOOKUP(VRAGENLIJST!$H$134,dropdowns!$C$32:$F$69,4,FALSE))))+IF(VRAGENLIJST!$H$132&gt;0,VRAGENLIJST!$H$128/VRAGENLIJST!$H$132,0)),VRAGENLIJST!$H$132,0)</f>
        <v>0</v>
      </c>
      <c r="P33" s="320">
        <f>SUM(D33:O33)</f>
        <v>0</v>
      </c>
      <c r="Q33" s="318">
        <f>IF(AND(Q3&gt;=IF(VRAGENLIJST!$H$126="",0,IFERROR(VLOOKUP(VRAGENLIJST!$H$126,dropdowns!$B$32:$F$69,5,FALSE),(VLOOKUP(VRAGENLIJST!$H$126,dropdowns!$C$32:$F$69,4,FALSE)))),Q3&lt;IF(VRAGENLIJST!$H$126="",0,IFERROR(VLOOKUP(VRAGENLIJST!$H$126,dropdowns!$B$32:$F$69,5,FALSE),(VLOOKUP(VRAGENLIJST!$H$126,dropdowns!$C$32:$F$69,4,FALSE))))+IF(VRAGENLIJST!$H$120&gt;0,VRAGENLIJST!$H$120/VRAGENLIJST!$H$124,0)),VRAGENLIJST!$H$124,0)+IF(AND(Liquiditeit!Q3&gt;=IF(VRAGENLIJST!$H$134="",0,IFERROR(VLOOKUP(VRAGENLIJST!$H$134,dropdowns!$B$32:$F$69,5,FALSE),(VLOOKUP(VRAGENLIJST!$H$134,dropdowns!$C$32:$F$69,4,FALSE)))),Liquiditeit!Q3&lt;IF(VRAGENLIJST!$H$134="",0,IFERROR(VLOOKUP(VRAGENLIJST!$H$134,dropdowns!$B$32:$F$69,5,FALSE),(VLOOKUP(VRAGENLIJST!$H$134,dropdowns!$C$32:$F$69,4,FALSE))))+IF(VRAGENLIJST!$H$132&gt;0,VRAGENLIJST!$H$128/VRAGENLIJST!$H$132,0)),VRAGENLIJST!$H$132,0)</f>
        <v>0</v>
      </c>
      <c r="R33" s="318">
        <f>IF(AND(R3&gt;=IF(VRAGENLIJST!$H$126="",0,IFERROR(VLOOKUP(VRAGENLIJST!$H$126,dropdowns!$B$32:$F$69,5,FALSE),(VLOOKUP(VRAGENLIJST!$H$126,dropdowns!$C$32:$F$69,4,FALSE)))),R3&lt;IF(VRAGENLIJST!$H$126="",0,IFERROR(VLOOKUP(VRAGENLIJST!$H$126,dropdowns!$B$32:$F$69,5,FALSE),(VLOOKUP(VRAGENLIJST!$H$126,dropdowns!$C$32:$F$69,4,FALSE))))+IF(VRAGENLIJST!$H$120&gt;0,VRAGENLIJST!$H$120/VRAGENLIJST!$H$124,0)),VRAGENLIJST!$H$124,0)+IF(AND(Liquiditeit!R3&gt;=IF(VRAGENLIJST!$H$134="",0,IFERROR(VLOOKUP(VRAGENLIJST!$H$134,dropdowns!$B$32:$F$69,5,FALSE),(VLOOKUP(VRAGENLIJST!$H$134,dropdowns!$C$32:$F$69,4,FALSE)))),Liquiditeit!R3&lt;IF(VRAGENLIJST!$H$134="",0,IFERROR(VLOOKUP(VRAGENLIJST!$H$134,dropdowns!$B$32:$F$69,5,FALSE),(VLOOKUP(VRAGENLIJST!$H$134,dropdowns!$C$32:$F$69,4,FALSE))))+IF(VRAGENLIJST!$H$132&gt;0,VRAGENLIJST!$H$128/VRAGENLIJST!$H$132,0)),VRAGENLIJST!$H$132,0)</f>
        <v>0</v>
      </c>
      <c r="S33" s="318">
        <f>IF(AND(S3&gt;=IF(VRAGENLIJST!$H$126="",0,IFERROR(VLOOKUP(VRAGENLIJST!$H$126,dropdowns!$B$32:$F$69,5,FALSE),(VLOOKUP(VRAGENLIJST!$H$126,dropdowns!$C$32:$F$69,4,FALSE)))),S3&lt;IF(VRAGENLIJST!$H$126="",0,IFERROR(VLOOKUP(VRAGENLIJST!$H$126,dropdowns!$B$32:$F$69,5,FALSE),(VLOOKUP(VRAGENLIJST!$H$126,dropdowns!$C$32:$F$69,4,FALSE))))+IF(VRAGENLIJST!$H$120&gt;0,VRAGENLIJST!$H$120/VRAGENLIJST!$H$124,0)),VRAGENLIJST!$H$124,0)+IF(AND(Liquiditeit!S3&gt;=IF(VRAGENLIJST!$H$134="",0,IFERROR(VLOOKUP(VRAGENLIJST!$H$134,dropdowns!$B$32:$F$69,5,FALSE),(VLOOKUP(VRAGENLIJST!$H$134,dropdowns!$C$32:$F$69,4,FALSE)))),Liquiditeit!S3&lt;IF(VRAGENLIJST!$H$134="",0,IFERROR(VLOOKUP(VRAGENLIJST!$H$134,dropdowns!$B$32:$F$69,5,FALSE),(VLOOKUP(VRAGENLIJST!$H$134,dropdowns!$C$32:$F$69,4,FALSE))))+IF(VRAGENLIJST!$H$132&gt;0,VRAGENLIJST!$H$128/VRAGENLIJST!$H$132,0)),VRAGENLIJST!$H$132,0)</f>
        <v>0</v>
      </c>
      <c r="T33" s="318">
        <f>IF(AND(T3&gt;=IF(VRAGENLIJST!$H$126="",0,IFERROR(VLOOKUP(VRAGENLIJST!$H$126,dropdowns!$B$32:$F$69,5,FALSE),(VLOOKUP(VRAGENLIJST!$H$126,dropdowns!$C$32:$F$69,4,FALSE)))),T3&lt;IF(VRAGENLIJST!$H$126="",0,IFERROR(VLOOKUP(VRAGENLIJST!$H$126,dropdowns!$B$32:$F$69,5,FALSE),(VLOOKUP(VRAGENLIJST!$H$126,dropdowns!$C$32:$F$69,4,FALSE))))+IF(VRAGENLIJST!$H$120&gt;0,VRAGENLIJST!$H$120/VRAGENLIJST!$H$124,0)),VRAGENLIJST!$H$124,0)+IF(AND(Liquiditeit!T3&gt;=IF(VRAGENLIJST!$H$134="",0,IFERROR(VLOOKUP(VRAGENLIJST!$H$134,dropdowns!$B$32:$F$69,5,FALSE),(VLOOKUP(VRAGENLIJST!$H$134,dropdowns!$C$32:$F$69,4,FALSE)))),Liquiditeit!T3&lt;IF(VRAGENLIJST!$H$134="",0,IFERROR(VLOOKUP(VRAGENLIJST!$H$134,dropdowns!$B$32:$F$69,5,FALSE),(VLOOKUP(VRAGENLIJST!$H$134,dropdowns!$C$32:$F$69,4,FALSE))))+IF(VRAGENLIJST!$H$132&gt;0,VRAGENLIJST!$H$128/VRAGENLIJST!$H$132,0)),VRAGENLIJST!$H$132,0)</f>
        <v>0</v>
      </c>
      <c r="U33" s="318">
        <f>IF(AND(U3&gt;=IF(VRAGENLIJST!$H$126="",0,IFERROR(VLOOKUP(VRAGENLIJST!$H$126,dropdowns!$B$32:$F$69,5,FALSE),(VLOOKUP(VRAGENLIJST!$H$126,dropdowns!$C$32:$F$69,4,FALSE)))),U3&lt;IF(VRAGENLIJST!$H$126="",0,IFERROR(VLOOKUP(VRAGENLIJST!$H$126,dropdowns!$B$32:$F$69,5,FALSE),(VLOOKUP(VRAGENLIJST!$H$126,dropdowns!$C$32:$F$69,4,FALSE))))+IF(VRAGENLIJST!$H$120&gt;0,VRAGENLIJST!$H$120/VRAGENLIJST!$H$124,0)),VRAGENLIJST!$H$124,0)+IF(AND(Liquiditeit!U3&gt;=IF(VRAGENLIJST!$H$134="",0,IFERROR(VLOOKUP(VRAGENLIJST!$H$134,dropdowns!$B$32:$F$69,5,FALSE),(VLOOKUP(VRAGENLIJST!$H$134,dropdowns!$C$32:$F$69,4,FALSE)))),Liquiditeit!U3&lt;IF(VRAGENLIJST!$H$134="",0,IFERROR(VLOOKUP(VRAGENLIJST!$H$134,dropdowns!$B$32:$F$69,5,FALSE),(VLOOKUP(VRAGENLIJST!$H$134,dropdowns!$C$32:$F$69,4,FALSE))))+IF(VRAGENLIJST!$H$132&gt;0,VRAGENLIJST!$H$128/VRAGENLIJST!$H$132,0)),VRAGENLIJST!$H$132,0)</f>
        <v>0</v>
      </c>
      <c r="V33" s="318">
        <f>IF(AND(V3&gt;=IF(VRAGENLIJST!$H$126="",0,IFERROR(VLOOKUP(VRAGENLIJST!$H$126,dropdowns!$B$32:$F$69,5,FALSE),(VLOOKUP(VRAGENLIJST!$H$126,dropdowns!$C$32:$F$69,4,FALSE)))),V3&lt;IF(VRAGENLIJST!$H$126="",0,IFERROR(VLOOKUP(VRAGENLIJST!$H$126,dropdowns!$B$32:$F$69,5,FALSE),(VLOOKUP(VRAGENLIJST!$H$126,dropdowns!$C$32:$F$69,4,FALSE))))+IF(VRAGENLIJST!$H$120&gt;0,VRAGENLIJST!$H$120/VRAGENLIJST!$H$124,0)),VRAGENLIJST!$H$124,0)+IF(AND(Liquiditeit!V3&gt;=IF(VRAGENLIJST!$H$134="",0,IFERROR(VLOOKUP(VRAGENLIJST!$H$134,dropdowns!$B$32:$F$69,5,FALSE),(VLOOKUP(VRAGENLIJST!$H$134,dropdowns!$C$32:$F$69,4,FALSE)))),Liquiditeit!V3&lt;IF(VRAGENLIJST!$H$134="",0,IFERROR(VLOOKUP(VRAGENLIJST!$H$134,dropdowns!$B$32:$F$69,5,FALSE),(VLOOKUP(VRAGENLIJST!$H$134,dropdowns!$C$32:$F$69,4,FALSE))))+IF(VRAGENLIJST!$H$132&gt;0,VRAGENLIJST!$H$128/VRAGENLIJST!$H$132,0)),VRAGENLIJST!$H$132,0)</f>
        <v>0</v>
      </c>
      <c r="W33" s="318">
        <f>IF(AND(W3&gt;=IF(VRAGENLIJST!$H$126="",0,IFERROR(VLOOKUP(VRAGENLIJST!$H$126,dropdowns!$B$32:$F$69,5,FALSE),(VLOOKUP(VRAGENLIJST!$H$126,dropdowns!$C$32:$F$69,4,FALSE)))),W3&lt;IF(VRAGENLIJST!$H$126="",0,IFERROR(VLOOKUP(VRAGENLIJST!$H$126,dropdowns!$B$32:$F$69,5,FALSE),(VLOOKUP(VRAGENLIJST!$H$126,dropdowns!$C$32:$F$69,4,FALSE))))+IF(VRAGENLIJST!$H$120&gt;0,VRAGENLIJST!$H$120/VRAGENLIJST!$H$124,0)),VRAGENLIJST!$H$124,0)+IF(AND(Liquiditeit!W3&gt;=IF(VRAGENLIJST!$H$134="",0,IFERROR(VLOOKUP(VRAGENLIJST!$H$134,dropdowns!$B$32:$F$69,5,FALSE),(VLOOKUP(VRAGENLIJST!$H$134,dropdowns!$C$32:$F$69,4,FALSE)))),Liquiditeit!W3&lt;IF(VRAGENLIJST!$H$134="",0,IFERROR(VLOOKUP(VRAGENLIJST!$H$134,dropdowns!$B$32:$F$69,5,FALSE),(VLOOKUP(VRAGENLIJST!$H$134,dropdowns!$C$32:$F$69,4,FALSE))))+IF(VRAGENLIJST!$H$132&gt;0,VRAGENLIJST!$H$128/VRAGENLIJST!$H$132,0)),VRAGENLIJST!$H$132,0)</f>
        <v>0</v>
      </c>
      <c r="X33" s="318">
        <f>IF(AND(X3&gt;=IF(VRAGENLIJST!$H$126="",0,IFERROR(VLOOKUP(VRAGENLIJST!$H$126,dropdowns!$B$32:$F$69,5,FALSE),(VLOOKUP(VRAGENLIJST!$H$126,dropdowns!$C$32:$F$69,4,FALSE)))),X3&lt;IF(VRAGENLIJST!$H$126="",0,IFERROR(VLOOKUP(VRAGENLIJST!$H$126,dropdowns!$B$32:$F$69,5,FALSE),(VLOOKUP(VRAGENLIJST!$H$126,dropdowns!$C$32:$F$69,4,FALSE))))+IF(VRAGENLIJST!$H$120&gt;0,VRAGENLIJST!$H$120/VRAGENLIJST!$H$124,0)),VRAGENLIJST!$H$124,0)+IF(AND(Liquiditeit!X3&gt;=IF(VRAGENLIJST!$H$134="",0,IFERROR(VLOOKUP(VRAGENLIJST!$H$134,dropdowns!$B$32:$F$69,5,FALSE),(VLOOKUP(VRAGENLIJST!$H$134,dropdowns!$C$32:$F$69,4,FALSE)))),Liquiditeit!X3&lt;IF(VRAGENLIJST!$H$134="",0,IFERROR(VLOOKUP(VRAGENLIJST!$H$134,dropdowns!$B$32:$F$69,5,FALSE),(VLOOKUP(VRAGENLIJST!$H$134,dropdowns!$C$32:$F$69,4,FALSE))))+IF(VRAGENLIJST!$H$132&gt;0,VRAGENLIJST!$H$128/VRAGENLIJST!$H$132,0)),VRAGENLIJST!$H$132,0)</f>
        <v>0</v>
      </c>
      <c r="Y33" s="318">
        <f>IF(AND(Y3&gt;=IF(VRAGENLIJST!$H$126="",0,IFERROR(VLOOKUP(VRAGENLIJST!$H$126,dropdowns!$B$32:$F$69,5,FALSE),(VLOOKUP(VRAGENLIJST!$H$126,dropdowns!$C$32:$F$69,4,FALSE)))),Y3&lt;IF(VRAGENLIJST!$H$126="",0,IFERROR(VLOOKUP(VRAGENLIJST!$H$126,dropdowns!$B$32:$F$69,5,FALSE),(VLOOKUP(VRAGENLIJST!$H$126,dropdowns!$C$32:$F$69,4,FALSE))))+IF(VRAGENLIJST!$H$120&gt;0,VRAGENLIJST!$H$120/VRAGENLIJST!$H$124,0)),VRAGENLIJST!$H$124,0)+IF(AND(Liquiditeit!Y3&gt;=IF(VRAGENLIJST!$H$134="",0,IFERROR(VLOOKUP(VRAGENLIJST!$H$134,dropdowns!$B$32:$F$69,5,FALSE),(VLOOKUP(VRAGENLIJST!$H$134,dropdowns!$C$32:$F$69,4,FALSE)))),Liquiditeit!Y3&lt;IF(VRAGENLIJST!$H$134="",0,IFERROR(VLOOKUP(VRAGENLIJST!$H$134,dropdowns!$B$32:$F$69,5,FALSE),(VLOOKUP(VRAGENLIJST!$H$134,dropdowns!$C$32:$F$69,4,FALSE))))+IF(VRAGENLIJST!$H$132&gt;0,VRAGENLIJST!$H$128/VRAGENLIJST!$H$132,0)),VRAGENLIJST!$H$132,0)</f>
        <v>0</v>
      </c>
      <c r="Z33" s="318">
        <f>IF(AND(Z3&gt;=IF(VRAGENLIJST!$H$126="",0,IFERROR(VLOOKUP(VRAGENLIJST!$H$126,dropdowns!$B$32:$F$69,5,FALSE),(VLOOKUP(VRAGENLIJST!$H$126,dropdowns!$C$32:$F$69,4,FALSE)))),Z3&lt;IF(VRAGENLIJST!$H$126="",0,IFERROR(VLOOKUP(VRAGENLIJST!$H$126,dropdowns!$B$32:$F$69,5,FALSE),(VLOOKUP(VRAGENLIJST!$H$126,dropdowns!$C$32:$F$69,4,FALSE))))+IF(VRAGENLIJST!$H$120&gt;0,VRAGENLIJST!$H$120/VRAGENLIJST!$H$124,0)),VRAGENLIJST!$H$124,0)+IF(AND(Liquiditeit!Z3&gt;=IF(VRAGENLIJST!$H$134="",0,IFERROR(VLOOKUP(VRAGENLIJST!$H$134,dropdowns!$B$32:$F$69,5,FALSE),(VLOOKUP(VRAGENLIJST!$H$134,dropdowns!$C$32:$F$69,4,FALSE)))),Liquiditeit!Z3&lt;IF(VRAGENLIJST!$H$134="",0,IFERROR(VLOOKUP(VRAGENLIJST!$H$134,dropdowns!$B$32:$F$69,5,FALSE),(VLOOKUP(VRAGENLIJST!$H$134,dropdowns!$C$32:$F$69,4,FALSE))))+IF(VRAGENLIJST!$H$132&gt;0,VRAGENLIJST!$H$128/VRAGENLIJST!$H$132,0)),VRAGENLIJST!$H$132,0)</f>
        <v>0</v>
      </c>
      <c r="AA33" s="318">
        <f>IF(AND(AA3&gt;=IF(VRAGENLIJST!$H$126="",0,IFERROR(VLOOKUP(VRAGENLIJST!$H$126,dropdowns!$B$32:$F$69,5,FALSE),(VLOOKUP(VRAGENLIJST!$H$126,dropdowns!$C$32:$F$69,4,FALSE)))),AA3&lt;IF(VRAGENLIJST!$H$126="",0,IFERROR(VLOOKUP(VRAGENLIJST!$H$126,dropdowns!$B$32:$F$69,5,FALSE),(VLOOKUP(VRAGENLIJST!$H$126,dropdowns!$C$32:$F$69,4,FALSE))))+IF(VRAGENLIJST!$H$120&gt;0,VRAGENLIJST!$H$120/VRAGENLIJST!$H$124,0)),VRAGENLIJST!$H$124,0)+IF(AND(Liquiditeit!AA3&gt;=IF(VRAGENLIJST!$H$134="",0,IFERROR(VLOOKUP(VRAGENLIJST!$H$134,dropdowns!$B$32:$F$69,5,FALSE),(VLOOKUP(VRAGENLIJST!$H$134,dropdowns!$C$32:$F$69,4,FALSE)))),Liquiditeit!AA3&lt;IF(VRAGENLIJST!$H$134="",0,IFERROR(VLOOKUP(VRAGENLIJST!$H$134,dropdowns!$B$32:$F$69,5,FALSE),(VLOOKUP(VRAGENLIJST!$H$134,dropdowns!$C$32:$F$69,4,FALSE))))+IF(VRAGENLIJST!$H$132&gt;0,VRAGENLIJST!$H$128/VRAGENLIJST!$H$132,0)),VRAGENLIJST!$H$132,0)</f>
        <v>0</v>
      </c>
      <c r="AB33" s="318">
        <f>IF(AND(AB3&gt;=IF(VRAGENLIJST!$H$126="",0,IFERROR(VLOOKUP(VRAGENLIJST!$H$126,dropdowns!$B$32:$F$69,5,FALSE),(VLOOKUP(VRAGENLIJST!$H$126,dropdowns!$C$32:$F$69,4,FALSE)))),AB3&lt;IF(VRAGENLIJST!$H$126="",0,IFERROR(VLOOKUP(VRAGENLIJST!$H$126,dropdowns!$B$32:$F$69,5,FALSE),(VLOOKUP(VRAGENLIJST!$H$126,dropdowns!$C$32:$F$69,4,FALSE))))+IF(VRAGENLIJST!$H$120&gt;0,VRAGENLIJST!$H$120/VRAGENLIJST!$H$124,0)),VRAGENLIJST!$H$124,0)+IF(AND(Liquiditeit!AB3&gt;=IF(VRAGENLIJST!$H$134="",0,IFERROR(VLOOKUP(VRAGENLIJST!$H$134,dropdowns!$B$32:$F$69,5,FALSE),(VLOOKUP(VRAGENLIJST!$H$134,dropdowns!$C$32:$F$69,4,FALSE)))),Liquiditeit!AB3&lt;IF(VRAGENLIJST!$H$134="",0,IFERROR(VLOOKUP(VRAGENLIJST!$H$134,dropdowns!$B$32:$F$69,5,FALSE),(VLOOKUP(VRAGENLIJST!$H$134,dropdowns!$C$32:$F$69,4,FALSE))))+IF(VRAGENLIJST!$H$132&gt;0,VRAGENLIJST!$H$128/VRAGENLIJST!$H$132,0)),VRAGENLIJST!$H$132,0)</f>
        <v>0</v>
      </c>
      <c r="AC33" s="320">
        <f t="shared" si="5"/>
        <v>0</v>
      </c>
      <c r="AD33" s="318">
        <f>IF(AND(AD3&gt;=IF(VRAGENLIJST!$H$126="",0,IFERROR(VLOOKUP(VRAGENLIJST!$H$126,dropdowns!$B$32:$F$69,5,FALSE),(VLOOKUP(VRAGENLIJST!$H$126,dropdowns!$C$32:$F$69,4,FALSE)))),AD3&lt;IF(VRAGENLIJST!$H$126="",0,IFERROR(VLOOKUP(VRAGENLIJST!$H$126,dropdowns!$B$32:$F$69,5,FALSE),(VLOOKUP(VRAGENLIJST!$H$126,dropdowns!$C$32:$F$69,4,FALSE))))+IF(VRAGENLIJST!$H$120&gt;0,VRAGENLIJST!$H$120/VRAGENLIJST!$H$124,0)),VRAGENLIJST!$H$124,0)+IF(AND(Liquiditeit!AD3&gt;=IF(VRAGENLIJST!$H$134="",0,IFERROR(VLOOKUP(VRAGENLIJST!$H$134,dropdowns!$B$32:$F$69,5,FALSE),(VLOOKUP(VRAGENLIJST!$H$134,dropdowns!$C$32:$F$69,4,FALSE)))),Liquiditeit!AD3&lt;IF(VRAGENLIJST!$H$134="",0,IFERROR(VLOOKUP(VRAGENLIJST!$H$134,dropdowns!$B$32:$F$69,5,FALSE),(VLOOKUP(VRAGENLIJST!$H$134,dropdowns!$C$32:$F$69,4,FALSE))))+IF(VRAGENLIJST!$H$132&gt;0,VRAGENLIJST!$H$128/VRAGENLIJST!$H$132,0)),VRAGENLIJST!$H$132,0)</f>
        <v>0</v>
      </c>
      <c r="AE33" s="318">
        <f>IF(AND(AE3&gt;=IF(VRAGENLIJST!$H$126="",0,IFERROR(VLOOKUP(VRAGENLIJST!$H$126,dropdowns!$B$32:$F$69,5,FALSE),(VLOOKUP(VRAGENLIJST!$H$126,dropdowns!$C$32:$F$69,4,FALSE)))),AE3&lt;IF(VRAGENLIJST!$H$126="",0,IFERROR(VLOOKUP(VRAGENLIJST!$H$126,dropdowns!$B$32:$F$69,5,FALSE),(VLOOKUP(VRAGENLIJST!$H$126,dropdowns!$C$32:$F$69,4,FALSE))))+IF(VRAGENLIJST!$H$120&gt;0,VRAGENLIJST!$H$120/VRAGENLIJST!$H$124,0)),VRAGENLIJST!$H$124,0)+IF(AND(Liquiditeit!AE3&gt;=IF(VRAGENLIJST!$H$134="",0,IFERROR(VLOOKUP(VRAGENLIJST!$H$134,dropdowns!$B$32:$F$69,5,FALSE),(VLOOKUP(VRAGENLIJST!$H$134,dropdowns!$C$32:$F$69,4,FALSE)))),Liquiditeit!AE3&lt;IF(VRAGENLIJST!$H$134="",0,IFERROR(VLOOKUP(VRAGENLIJST!$H$134,dropdowns!$B$32:$F$69,5,FALSE),(VLOOKUP(VRAGENLIJST!$H$134,dropdowns!$C$32:$F$69,4,FALSE))))+IF(VRAGENLIJST!$H$132&gt;0,VRAGENLIJST!$H$128/VRAGENLIJST!$H$132,0)),VRAGENLIJST!$H$132,0)</f>
        <v>0</v>
      </c>
      <c r="AF33" s="318">
        <f>IF(AND(AF3&gt;=IF(VRAGENLIJST!$H$126="",0,IFERROR(VLOOKUP(VRAGENLIJST!$H$126,dropdowns!$B$32:$F$69,5,FALSE),(VLOOKUP(VRAGENLIJST!$H$126,dropdowns!$C$32:$F$69,4,FALSE)))),AF3&lt;IF(VRAGENLIJST!$H$126="",0,IFERROR(VLOOKUP(VRAGENLIJST!$H$126,dropdowns!$B$32:$F$69,5,FALSE),(VLOOKUP(VRAGENLIJST!$H$126,dropdowns!$C$32:$F$69,4,FALSE))))+IF(VRAGENLIJST!$H$120&gt;0,VRAGENLIJST!$H$120/VRAGENLIJST!$H$124,0)),VRAGENLIJST!$H$124,0)+IF(AND(Liquiditeit!AF3&gt;=IF(VRAGENLIJST!$H$134="",0,IFERROR(VLOOKUP(VRAGENLIJST!$H$134,dropdowns!$B$32:$F$69,5,FALSE),(VLOOKUP(VRAGENLIJST!$H$134,dropdowns!$C$32:$F$69,4,FALSE)))),Liquiditeit!AF3&lt;IF(VRAGENLIJST!$H$134="",0,IFERROR(VLOOKUP(VRAGENLIJST!$H$134,dropdowns!$B$32:$F$69,5,FALSE),(VLOOKUP(VRAGENLIJST!$H$134,dropdowns!$C$32:$F$69,4,FALSE))))+IF(VRAGENLIJST!$H$132&gt;0,VRAGENLIJST!$H$128/VRAGENLIJST!$H$132,0)),VRAGENLIJST!$H$132,0)</f>
        <v>0</v>
      </c>
      <c r="AG33" s="318">
        <f>IF(AND(AG3&gt;=IF(VRAGENLIJST!$H$126="",0,IFERROR(VLOOKUP(VRAGENLIJST!$H$126,dropdowns!$B$32:$F$69,5,FALSE),(VLOOKUP(VRAGENLIJST!$H$126,dropdowns!$C$32:$F$69,4,FALSE)))),AG3&lt;IF(VRAGENLIJST!$H$126="",0,IFERROR(VLOOKUP(VRAGENLIJST!$H$126,dropdowns!$B$32:$F$69,5,FALSE),(VLOOKUP(VRAGENLIJST!$H$126,dropdowns!$C$32:$F$69,4,FALSE))))+IF(VRAGENLIJST!$H$120&gt;0,VRAGENLIJST!$H$120/VRAGENLIJST!$H$124,0)),VRAGENLIJST!$H$124,0)+IF(AND(Liquiditeit!AG3&gt;=IF(VRAGENLIJST!$H$134="",0,IFERROR(VLOOKUP(VRAGENLIJST!$H$134,dropdowns!$B$32:$F$69,5,FALSE),(VLOOKUP(VRAGENLIJST!$H$134,dropdowns!$C$32:$F$69,4,FALSE)))),Liquiditeit!AG3&lt;IF(VRAGENLIJST!$H$134="",0,IFERROR(VLOOKUP(VRAGENLIJST!$H$134,dropdowns!$B$32:$F$69,5,FALSE),(VLOOKUP(VRAGENLIJST!$H$134,dropdowns!$C$32:$F$69,4,FALSE))))+IF(VRAGENLIJST!$H$132&gt;0,VRAGENLIJST!$H$128/VRAGENLIJST!$H$132,0)),VRAGENLIJST!$H$132,0)</f>
        <v>0</v>
      </c>
      <c r="AH33" s="318">
        <f>IF(AND(AH3&gt;=IF(VRAGENLIJST!$H$126="",0,IFERROR(VLOOKUP(VRAGENLIJST!$H$126,dropdowns!$B$32:$F$69,5,FALSE),(VLOOKUP(VRAGENLIJST!$H$126,dropdowns!$C$32:$F$69,4,FALSE)))),AH3&lt;IF(VRAGENLIJST!$H$126="",0,IFERROR(VLOOKUP(VRAGENLIJST!$H$126,dropdowns!$B$32:$F$69,5,FALSE),(VLOOKUP(VRAGENLIJST!$H$126,dropdowns!$C$32:$F$69,4,FALSE))))+IF(VRAGENLIJST!$H$120&gt;0,VRAGENLIJST!$H$120/VRAGENLIJST!$H$124,0)),VRAGENLIJST!$H$124,0)+IF(AND(Liquiditeit!AH3&gt;=IF(VRAGENLIJST!$H$134="",0,IFERROR(VLOOKUP(VRAGENLIJST!$H$134,dropdowns!$B$32:$F$69,5,FALSE),(VLOOKUP(VRAGENLIJST!$H$134,dropdowns!$C$32:$F$69,4,FALSE)))),Liquiditeit!AH3&lt;IF(VRAGENLIJST!$H$134="",0,IFERROR(VLOOKUP(VRAGENLIJST!$H$134,dropdowns!$B$32:$F$69,5,FALSE),(VLOOKUP(VRAGENLIJST!$H$134,dropdowns!$C$32:$F$69,4,FALSE))))+IF(VRAGENLIJST!$H$132&gt;0,VRAGENLIJST!$H$128/VRAGENLIJST!$H$132,0)),VRAGENLIJST!$H$132,0)</f>
        <v>0</v>
      </c>
      <c r="AI33" s="318">
        <f>IF(AND(AI3&gt;=IF(VRAGENLIJST!$H$126="",0,IFERROR(VLOOKUP(VRAGENLIJST!$H$126,dropdowns!$B$32:$F$69,5,FALSE),(VLOOKUP(VRAGENLIJST!$H$126,dropdowns!$C$32:$F$69,4,FALSE)))),AI3&lt;IF(VRAGENLIJST!$H$126="",0,IFERROR(VLOOKUP(VRAGENLIJST!$H$126,dropdowns!$B$32:$F$69,5,FALSE),(VLOOKUP(VRAGENLIJST!$H$126,dropdowns!$C$32:$F$69,4,FALSE))))+IF(VRAGENLIJST!$H$120&gt;0,VRAGENLIJST!$H$120/VRAGENLIJST!$H$124,0)),VRAGENLIJST!$H$124,0)+IF(AND(Liquiditeit!AI3&gt;=IF(VRAGENLIJST!$H$134="",0,IFERROR(VLOOKUP(VRAGENLIJST!$H$134,dropdowns!$B$32:$F$69,5,FALSE),(VLOOKUP(VRAGENLIJST!$H$134,dropdowns!$C$32:$F$69,4,FALSE)))),Liquiditeit!AI3&lt;IF(VRAGENLIJST!$H$134="",0,IFERROR(VLOOKUP(VRAGENLIJST!$H$134,dropdowns!$B$32:$F$69,5,FALSE),(VLOOKUP(VRAGENLIJST!$H$134,dropdowns!$C$32:$F$69,4,FALSE))))+IF(VRAGENLIJST!$H$132&gt;0,VRAGENLIJST!$H$128/VRAGENLIJST!$H$132,0)),VRAGENLIJST!$H$132,0)</f>
        <v>0</v>
      </c>
      <c r="AJ33" s="318">
        <f>IF(AND(AJ3&gt;=IF(VRAGENLIJST!$H$126="",0,IFERROR(VLOOKUP(VRAGENLIJST!$H$126,dropdowns!$B$32:$F$69,5,FALSE),(VLOOKUP(VRAGENLIJST!$H$126,dropdowns!$C$32:$F$69,4,FALSE)))),AJ3&lt;IF(VRAGENLIJST!$H$126="",0,IFERROR(VLOOKUP(VRAGENLIJST!$H$126,dropdowns!$B$32:$F$69,5,FALSE),(VLOOKUP(VRAGENLIJST!$H$126,dropdowns!$C$32:$F$69,4,FALSE))))+IF(VRAGENLIJST!$H$120&gt;0,VRAGENLIJST!$H$120/VRAGENLIJST!$H$124,0)),VRAGENLIJST!$H$124,0)+IF(AND(Liquiditeit!AJ3&gt;=IF(VRAGENLIJST!$H$134="",0,IFERROR(VLOOKUP(VRAGENLIJST!$H$134,dropdowns!$B$32:$F$69,5,FALSE),(VLOOKUP(VRAGENLIJST!$H$134,dropdowns!$C$32:$F$69,4,FALSE)))),Liquiditeit!AJ3&lt;IF(VRAGENLIJST!$H$134="",0,IFERROR(VLOOKUP(VRAGENLIJST!$H$134,dropdowns!$B$32:$F$69,5,FALSE),(VLOOKUP(VRAGENLIJST!$H$134,dropdowns!$C$32:$F$69,4,FALSE))))+IF(VRAGENLIJST!$H$132&gt;0,VRAGENLIJST!$H$128/VRAGENLIJST!$H$132,0)),VRAGENLIJST!$H$132,0)</f>
        <v>0</v>
      </c>
      <c r="AK33" s="318">
        <f>IF(AND(AK3&gt;=IF(VRAGENLIJST!$H$126="",0,IFERROR(VLOOKUP(VRAGENLIJST!$H$126,dropdowns!$B$32:$F$69,5,FALSE),(VLOOKUP(VRAGENLIJST!$H$126,dropdowns!$C$32:$F$69,4,FALSE)))),AK3&lt;IF(VRAGENLIJST!$H$126="",0,IFERROR(VLOOKUP(VRAGENLIJST!$H$126,dropdowns!$B$32:$F$69,5,FALSE),(VLOOKUP(VRAGENLIJST!$H$126,dropdowns!$C$32:$F$69,4,FALSE))))+IF(VRAGENLIJST!$H$120&gt;0,VRAGENLIJST!$H$120/VRAGENLIJST!$H$124,0)),VRAGENLIJST!$H$124,0)+IF(AND(Liquiditeit!AK3&gt;=IF(VRAGENLIJST!$H$134="",0,IFERROR(VLOOKUP(VRAGENLIJST!$H$134,dropdowns!$B$32:$F$69,5,FALSE),(VLOOKUP(VRAGENLIJST!$H$134,dropdowns!$C$32:$F$69,4,FALSE)))),Liquiditeit!AK3&lt;IF(VRAGENLIJST!$H$134="",0,IFERROR(VLOOKUP(VRAGENLIJST!$H$134,dropdowns!$B$32:$F$69,5,FALSE),(VLOOKUP(VRAGENLIJST!$H$134,dropdowns!$C$32:$F$69,4,FALSE))))+IF(VRAGENLIJST!$H$132&gt;0,VRAGENLIJST!$H$128/VRAGENLIJST!$H$132,0)),VRAGENLIJST!$H$132,0)</f>
        <v>0</v>
      </c>
      <c r="AL33" s="318">
        <f>IF(AND(AL3&gt;=IF(VRAGENLIJST!$H$126="",0,IFERROR(VLOOKUP(VRAGENLIJST!$H$126,dropdowns!$B$32:$F$69,5,FALSE),(VLOOKUP(VRAGENLIJST!$H$126,dropdowns!$C$32:$F$69,4,FALSE)))),AL3&lt;IF(VRAGENLIJST!$H$126="",0,IFERROR(VLOOKUP(VRAGENLIJST!$H$126,dropdowns!$B$32:$F$69,5,FALSE),(VLOOKUP(VRAGENLIJST!$H$126,dropdowns!$C$32:$F$69,4,FALSE))))+IF(VRAGENLIJST!$H$120&gt;0,VRAGENLIJST!$H$120/VRAGENLIJST!$H$124,0)),VRAGENLIJST!$H$124,0)+IF(AND(Liquiditeit!AL3&gt;=IF(VRAGENLIJST!$H$134="",0,IFERROR(VLOOKUP(VRAGENLIJST!$H$134,dropdowns!$B$32:$F$69,5,FALSE),(VLOOKUP(VRAGENLIJST!$H$134,dropdowns!$C$32:$F$69,4,FALSE)))),Liquiditeit!AL3&lt;IF(VRAGENLIJST!$H$134="",0,IFERROR(VLOOKUP(VRAGENLIJST!$H$134,dropdowns!$B$32:$F$69,5,FALSE),(VLOOKUP(VRAGENLIJST!$H$134,dropdowns!$C$32:$F$69,4,FALSE))))+IF(VRAGENLIJST!$H$132&gt;0,VRAGENLIJST!$H$128/VRAGENLIJST!$H$132,0)),VRAGENLIJST!$H$132,0)</f>
        <v>0</v>
      </c>
      <c r="AM33" s="318">
        <f>IF(AND(AM3&gt;=IF(VRAGENLIJST!$H$126="",0,IFERROR(VLOOKUP(VRAGENLIJST!$H$126,dropdowns!$B$32:$F$69,5,FALSE),(VLOOKUP(VRAGENLIJST!$H$126,dropdowns!$C$32:$F$69,4,FALSE)))),AM3&lt;IF(VRAGENLIJST!$H$126="",0,IFERROR(VLOOKUP(VRAGENLIJST!$H$126,dropdowns!$B$32:$F$69,5,FALSE),(VLOOKUP(VRAGENLIJST!$H$126,dropdowns!$C$32:$F$69,4,FALSE))))+IF(VRAGENLIJST!$H$120&gt;0,VRAGENLIJST!$H$120/VRAGENLIJST!$H$124,0)),VRAGENLIJST!$H$124,0)+IF(AND(Liquiditeit!AM3&gt;=IF(VRAGENLIJST!$H$134="",0,IFERROR(VLOOKUP(VRAGENLIJST!$H$134,dropdowns!$B$32:$F$69,5,FALSE),(VLOOKUP(VRAGENLIJST!$H$134,dropdowns!$C$32:$F$69,4,FALSE)))),Liquiditeit!AM3&lt;IF(VRAGENLIJST!$H$134="",0,IFERROR(VLOOKUP(VRAGENLIJST!$H$134,dropdowns!$B$32:$F$69,5,FALSE),(VLOOKUP(VRAGENLIJST!$H$134,dropdowns!$C$32:$F$69,4,FALSE))))+IF(VRAGENLIJST!$H$132&gt;0,VRAGENLIJST!$H$128/VRAGENLIJST!$H$132,0)),VRAGENLIJST!$H$132,0)</f>
        <v>0</v>
      </c>
      <c r="AN33" s="318">
        <f>IF(AND(AN3&gt;=IF(VRAGENLIJST!$H$126="",0,IFERROR(VLOOKUP(VRAGENLIJST!$H$126,dropdowns!$B$32:$F$69,5,FALSE),(VLOOKUP(VRAGENLIJST!$H$126,dropdowns!$C$32:$F$69,4,FALSE)))),AN3&lt;IF(VRAGENLIJST!$H$126="",0,IFERROR(VLOOKUP(VRAGENLIJST!$H$126,dropdowns!$B$32:$F$69,5,FALSE),(VLOOKUP(VRAGENLIJST!$H$126,dropdowns!$C$32:$F$69,4,FALSE))))+IF(VRAGENLIJST!$H$120&gt;0,VRAGENLIJST!$H$120/VRAGENLIJST!$H$124,0)),VRAGENLIJST!$H$124,0)+IF(AND(Liquiditeit!AN3&gt;=IF(VRAGENLIJST!$H$134="",0,IFERROR(VLOOKUP(VRAGENLIJST!$H$134,dropdowns!$B$32:$F$69,5,FALSE),(VLOOKUP(VRAGENLIJST!$H$134,dropdowns!$C$32:$F$69,4,FALSE)))),Liquiditeit!AN3&lt;IF(VRAGENLIJST!$H$134="",0,IFERROR(VLOOKUP(VRAGENLIJST!$H$134,dropdowns!$B$32:$F$69,5,FALSE),(VLOOKUP(VRAGENLIJST!$H$134,dropdowns!$C$32:$F$69,4,FALSE))))+IF(VRAGENLIJST!$H$132&gt;0,VRAGENLIJST!$H$128/VRAGENLIJST!$H$132,0)),VRAGENLIJST!$H$132,0)</f>
        <v>0</v>
      </c>
      <c r="AO33" s="318">
        <f>IF(AND(AO3&gt;=IF(VRAGENLIJST!$H$126="",0,IFERROR(VLOOKUP(VRAGENLIJST!$H$126,dropdowns!$B$32:$F$69,5,FALSE),(VLOOKUP(VRAGENLIJST!$H$126,dropdowns!$C$32:$F$69,4,FALSE)))),AO3&lt;IF(VRAGENLIJST!$H$126="",0,IFERROR(VLOOKUP(VRAGENLIJST!$H$126,dropdowns!$B$32:$F$69,5,FALSE),(VLOOKUP(VRAGENLIJST!$H$126,dropdowns!$C$32:$F$69,4,FALSE))))+IF(VRAGENLIJST!$H$120&gt;0,VRAGENLIJST!$H$120/VRAGENLIJST!$H$124,0)),VRAGENLIJST!$H$124,0)+IF(AND(Liquiditeit!AO3&gt;=IF(VRAGENLIJST!$H$134="",0,IFERROR(VLOOKUP(VRAGENLIJST!$H$134,dropdowns!$B$32:$F$69,5,FALSE),(VLOOKUP(VRAGENLIJST!$H$134,dropdowns!$C$32:$F$69,4,FALSE)))),Liquiditeit!AO3&lt;IF(VRAGENLIJST!$H$134="",0,IFERROR(VLOOKUP(VRAGENLIJST!$H$134,dropdowns!$B$32:$F$69,5,FALSE),(VLOOKUP(VRAGENLIJST!$H$134,dropdowns!$C$32:$F$69,4,FALSE))))+IF(VRAGENLIJST!$H$132&gt;0,VRAGENLIJST!$H$128/VRAGENLIJST!$H$132,0)),VRAGENLIJST!$H$132,0)</f>
        <v>0</v>
      </c>
      <c r="AP33" s="320">
        <f t="shared" si="6"/>
        <v>0</v>
      </c>
    </row>
    <row r="34" spans="2:42" ht="14.25" customHeight="1" x14ac:dyDescent="0.25">
      <c r="B34" s="317" t="str">
        <f>Vertaling!A293</f>
        <v xml:space="preserve"> Rente Qredits</v>
      </c>
      <c r="C34" s="319"/>
      <c r="D34" s="318">
        <f>'Qredits maandlasten'!C17</f>
        <v>0</v>
      </c>
      <c r="E34" s="318">
        <f>'Qredits maandlasten'!D17</f>
        <v>0</v>
      </c>
      <c r="F34" s="318">
        <f>'Qredits maandlasten'!E17</f>
        <v>0</v>
      </c>
      <c r="G34" s="318">
        <f>'Qredits maandlasten'!F17</f>
        <v>0</v>
      </c>
      <c r="H34" s="318">
        <f>'Qredits maandlasten'!G17</f>
        <v>0</v>
      </c>
      <c r="I34" s="318">
        <f>'Qredits maandlasten'!H17</f>
        <v>0</v>
      </c>
      <c r="J34" s="318">
        <f>'Qredits maandlasten'!I17</f>
        <v>0</v>
      </c>
      <c r="K34" s="318">
        <f>'Qredits maandlasten'!J17</f>
        <v>0</v>
      </c>
      <c r="L34" s="318">
        <f>'Qredits maandlasten'!K17</f>
        <v>0</v>
      </c>
      <c r="M34" s="318">
        <f>'Qredits maandlasten'!L17</f>
        <v>0</v>
      </c>
      <c r="N34" s="318">
        <f>'Qredits maandlasten'!M17</f>
        <v>0</v>
      </c>
      <c r="O34" s="318">
        <f>'Qredits maandlasten'!N17</f>
        <v>0</v>
      </c>
      <c r="P34" s="320">
        <f>SUM(D34:O34)</f>
        <v>0</v>
      </c>
      <c r="Q34" s="318">
        <f>'Qredits maandlasten'!C26</f>
        <v>0</v>
      </c>
      <c r="R34" s="318">
        <f>'Qredits maandlasten'!D26</f>
        <v>0</v>
      </c>
      <c r="S34" s="318">
        <f>'Qredits maandlasten'!E26</f>
        <v>0</v>
      </c>
      <c r="T34" s="318">
        <f>'Qredits maandlasten'!F26</f>
        <v>0</v>
      </c>
      <c r="U34" s="318">
        <f>'Qredits maandlasten'!G26</f>
        <v>0</v>
      </c>
      <c r="V34" s="318">
        <f>'Qredits maandlasten'!H26</f>
        <v>0</v>
      </c>
      <c r="W34" s="318">
        <f>'Qredits maandlasten'!I26</f>
        <v>0</v>
      </c>
      <c r="X34" s="318">
        <f>'Qredits maandlasten'!J26</f>
        <v>0</v>
      </c>
      <c r="Y34" s="318">
        <f>'Qredits maandlasten'!K26</f>
        <v>0</v>
      </c>
      <c r="Z34" s="318">
        <f>'Qredits maandlasten'!L26</f>
        <v>0</v>
      </c>
      <c r="AA34" s="318">
        <f>'Qredits maandlasten'!M26</f>
        <v>0</v>
      </c>
      <c r="AB34" s="318">
        <f>'Qredits maandlasten'!N26</f>
        <v>0</v>
      </c>
      <c r="AC34" s="320">
        <f t="shared" si="5"/>
        <v>0</v>
      </c>
      <c r="AD34" s="318">
        <f>'Qredits maandlasten'!C34</f>
        <v>0</v>
      </c>
      <c r="AE34" s="318">
        <f>'Qredits maandlasten'!D34</f>
        <v>0</v>
      </c>
      <c r="AF34" s="318">
        <f>'Qredits maandlasten'!E34</f>
        <v>0</v>
      </c>
      <c r="AG34" s="318">
        <f>'Qredits maandlasten'!F34</f>
        <v>0</v>
      </c>
      <c r="AH34" s="318">
        <f>'Qredits maandlasten'!G34</f>
        <v>0</v>
      </c>
      <c r="AI34" s="318">
        <f>'Qredits maandlasten'!H34</f>
        <v>0</v>
      </c>
      <c r="AJ34" s="318">
        <f>'Qredits maandlasten'!I34</f>
        <v>0</v>
      </c>
      <c r="AK34" s="318">
        <f>'Qredits maandlasten'!J34</f>
        <v>0</v>
      </c>
      <c r="AL34" s="318">
        <f>'Qredits maandlasten'!K34</f>
        <v>0</v>
      </c>
      <c r="AM34" s="318">
        <f>'Qredits maandlasten'!L34</f>
        <v>0</v>
      </c>
      <c r="AN34" s="318">
        <f>'Qredits maandlasten'!M34</f>
        <v>0</v>
      </c>
      <c r="AO34" s="318">
        <f>'Qredits maandlasten'!N34</f>
        <v>0</v>
      </c>
      <c r="AP34" s="320">
        <f t="shared" si="6"/>
        <v>0</v>
      </c>
    </row>
    <row r="35" spans="2:42" ht="14.25" customHeight="1" x14ac:dyDescent="0.25">
      <c r="B35" s="317" t="str">
        <f>Vertaling!A294</f>
        <v xml:space="preserve"> Aflossing Qredits</v>
      </c>
      <c r="C35" s="319"/>
      <c r="D35" s="318">
        <f>'Qredits maandlasten'!C18</f>
        <v>0</v>
      </c>
      <c r="E35" s="318">
        <f>'Qredits maandlasten'!D18</f>
        <v>0</v>
      </c>
      <c r="F35" s="318">
        <f>'Qredits maandlasten'!E18</f>
        <v>0</v>
      </c>
      <c r="G35" s="318">
        <f>'Qredits maandlasten'!F18</f>
        <v>0</v>
      </c>
      <c r="H35" s="318">
        <f>'Qredits maandlasten'!G18</f>
        <v>0</v>
      </c>
      <c r="I35" s="318">
        <f>'Qredits maandlasten'!H18</f>
        <v>0</v>
      </c>
      <c r="J35" s="318">
        <f>'Qredits maandlasten'!I18</f>
        <v>0</v>
      </c>
      <c r="K35" s="318">
        <f>'Qredits maandlasten'!J18</f>
        <v>0</v>
      </c>
      <c r="L35" s="318">
        <f>'Qredits maandlasten'!K18</f>
        <v>0</v>
      </c>
      <c r="M35" s="318">
        <f>'Qredits maandlasten'!L18</f>
        <v>0</v>
      </c>
      <c r="N35" s="318">
        <f>'Qredits maandlasten'!M18</f>
        <v>0</v>
      </c>
      <c r="O35" s="318">
        <f>'Qredits maandlasten'!N18</f>
        <v>0</v>
      </c>
      <c r="P35" s="320">
        <f>SUM(D35:O35)</f>
        <v>0</v>
      </c>
      <c r="Q35" s="318">
        <f>'Qredits maandlasten'!C27</f>
        <v>0</v>
      </c>
      <c r="R35" s="318">
        <f>'Qredits maandlasten'!D27</f>
        <v>0</v>
      </c>
      <c r="S35" s="318">
        <f>'Qredits maandlasten'!E27</f>
        <v>0</v>
      </c>
      <c r="T35" s="318">
        <f>'Qredits maandlasten'!F27</f>
        <v>0</v>
      </c>
      <c r="U35" s="318">
        <f>'Qredits maandlasten'!G27</f>
        <v>0</v>
      </c>
      <c r="V35" s="318">
        <f>'Qredits maandlasten'!H27</f>
        <v>0</v>
      </c>
      <c r="W35" s="318">
        <f>'Qredits maandlasten'!I27</f>
        <v>0</v>
      </c>
      <c r="X35" s="318">
        <f>'Qredits maandlasten'!J27</f>
        <v>0</v>
      </c>
      <c r="Y35" s="318">
        <f>'Qredits maandlasten'!K27</f>
        <v>0</v>
      </c>
      <c r="Z35" s="318">
        <f>'Qredits maandlasten'!L27</f>
        <v>0</v>
      </c>
      <c r="AA35" s="318">
        <f>'Qredits maandlasten'!M27</f>
        <v>0</v>
      </c>
      <c r="AB35" s="318">
        <f>'Qredits maandlasten'!N27</f>
        <v>0</v>
      </c>
      <c r="AC35" s="320">
        <f t="shared" si="5"/>
        <v>0</v>
      </c>
      <c r="AD35" s="318">
        <f>'Qredits maandlasten'!C35</f>
        <v>0</v>
      </c>
      <c r="AE35" s="318">
        <f>'Qredits maandlasten'!D35</f>
        <v>0</v>
      </c>
      <c r="AF35" s="318">
        <f>'Qredits maandlasten'!E35</f>
        <v>0</v>
      </c>
      <c r="AG35" s="318">
        <f>'Qredits maandlasten'!F35</f>
        <v>0</v>
      </c>
      <c r="AH35" s="318">
        <f>'Qredits maandlasten'!G35</f>
        <v>0</v>
      </c>
      <c r="AI35" s="318">
        <f>'Qredits maandlasten'!H35</f>
        <v>0</v>
      </c>
      <c r="AJ35" s="318">
        <f>'Qredits maandlasten'!I35</f>
        <v>0</v>
      </c>
      <c r="AK35" s="318">
        <f>'Qredits maandlasten'!J35</f>
        <v>0</v>
      </c>
      <c r="AL35" s="318">
        <f>'Qredits maandlasten'!K35</f>
        <v>0</v>
      </c>
      <c r="AM35" s="318">
        <f>'Qredits maandlasten'!L35</f>
        <v>0</v>
      </c>
      <c r="AN35" s="318">
        <f>'Qredits maandlasten'!M35</f>
        <v>0</v>
      </c>
      <c r="AO35" s="318">
        <f>'Qredits maandlasten'!N35</f>
        <v>0</v>
      </c>
      <c r="AP35" s="320">
        <f t="shared" si="6"/>
        <v>0</v>
      </c>
    </row>
    <row r="36" spans="2:42" ht="14.25" customHeight="1" x14ac:dyDescent="0.25">
      <c r="B36" s="308" t="str">
        <f>IF(VRAGENLIJST!$D$4=dropdowns!$A$6,Vertaling!A296,Vertaling!A298)</f>
        <v xml:space="preserve"> Afdracht inkomstenbelasting</v>
      </c>
      <c r="C36" s="319"/>
      <c r="D36" s="319"/>
      <c r="E36" s="319"/>
      <c r="F36" s="318">
        <f>P36/4</f>
        <v>0</v>
      </c>
      <c r="G36" s="319"/>
      <c r="H36" s="319"/>
      <c r="I36" s="318">
        <f>P36/4</f>
        <v>0</v>
      </c>
      <c r="J36" s="319"/>
      <c r="K36" s="319"/>
      <c r="L36" s="318">
        <f>P36/4</f>
        <v>0</v>
      </c>
      <c r="M36" s="319"/>
      <c r="N36" s="319"/>
      <c r="O36" s="318">
        <f>P36/4</f>
        <v>0</v>
      </c>
      <c r="P36" s="320">
        <f>Exploitatie!C37</f>
        <v>0</v>
      </c>
      <c r="Q36" s="319"/>
      <c r="R36" s="319"/>
      <c r="S36" s="318">
        <f>AC36/4</f>
        <v>0</v>
      </c>
      <c r="T36" s="319"/>
      <c r="U36" s="319"/>
      <c r="V36" s="318">
        <f>AC36/4</f>
        <v>0</v>
      </c>
      <c r="W36" s="319"/>
      <c r="X36" s="319"/>
      <c r="Y36" s="318">
        <f>AC36/4</f>
        <v>0</v>
      </c>
      <c r="Z36" s="319"/>
      <c r="AA36" s="319"/>
      <c r="AB36" s="318">
        <f>AC36/4</f>
        <v>0</v>
      </c>
      <c r="AC36" s="320">
        <f>Exploitatie!D37</f>
        <v>0</v>
      </c>
      <c r="AD36" s="319"/>
      <c r="AE36" s="319"/>
      <c r="AF36" s="318">
        <f>AP36/4</f>
        <v>0</v>
      </c>
      <c r="AG36" s="319"/>
      <c r="AH36" s="319"/>
      <c r="AI36" s="318">
        <f>AP36/4</f>
        <v>0</v>
      </c>
      <c r="AJ36" s="319"/>
      <c r="AK36" s="319"/>
      <c r="AL36" s="318">
        <f>AP36/4</f>
        <v>0</v>
      </c>
      <c r="AM36" s="319"/>
      <c r="AN36" s="319"/>
      <c r="AO36" s="318">
        <f>AP36/4</f>
        <v>0</v>
      </c>
      <c r="AP36" s="320">
        <f>Exploitatie!E37</f>
        <v>0</v>
      </c>
    </row>
    <row r="37" spans="2:42" ht="14.25" customHeight="1" x14ac:dyDescent="0.25">
      <c r="B37" s="301" t="str">
        <f>VRAGENLIJST!$D$10</f>
        <v/>
      </c>
      <c r="C37" s="319"/>
      <c r="D37" s="319"/>
      <c r="E37" s="319"/>
      <c r="F37" s="319"/>
      <c r="G37" s="319"/>
      <c r="H37" s="319"/>
      <c r="I37" s="319"/>
      <c r="J37" s="319"/>
      <c r="K37" s="319"/>
      <c r="L37" s="319"/>
      <c r="M37" s="319"/>
      <c r="N37" s="319"/>
      <c r="O37" s="319"/>
      <c r="P37" s="316"/>
      <c r="Q37" s="319"/>
      <c r="R37" s="319"/>
      <c r="S37" s="319"/>
      <c r="T37" s="319"/>
      <c r="U37" s="319"/>
      <c r="V37" s="319"/>
      <c r="W37" s="319"/>
      <c r="X37" s="319"/>
      <c r="Y37" s="319"/>
      <c r="Z37" s="319"/>
      <c r="AA37" s="319"/>
      <c r="AB37" s="319"/>
      <c r="AC37" s="316"/>
      <c r="AD37" s="319"/>
      <c r="AE37" s="319"/>
      <c r="AF37" s="319"/>
      <c r="AG37" s="319"/>
      <c r="AH37" s="319"/>
      <c r="AI37" s="319"/>
      <c r="AJ37" s="319"/>
      <c r="AK37" s="319"/>
      <c r="AL37" s="319"/>
      <c r="AM37" s="319"/>
      <c r="AN37" s="319"/>
      <c r="AO37" s="319"/>
      <c r="AP37" s="316"/>
    </row>
    <row r="38" spans="2:42" ht="14.25" customHeight="1" x14ac:dyDescent="0.25">
      <c r="B38" s="317" t="str">
        <f>IF(VRAGENLIJST!$D$4=dropdowns!$A$6,Vertaling!A295,Vertaling!A297)</f>
        <v>Afdracht inkomstenbelasting</v>
      </c>
      <c r="C38" s="319"/>
      <c r="D38" s="318">
        <f t="shared" ref="D38:O38" ca="1" si="9">IF(SUM($P$11:$P$12)=0,0,$P38*(SUM(D11:D12)/SUM($P$11:$P$12)))</f>
        <v>0</v>
      </c>
      <c r="E38" s="318">
        <f t="shared" ca="1" si="9"/>
        <v>0</v>
      </c>
      <c r="F38" s="318">
        <f t="shared" ca="1" si="9"/>
        <v>0</v>
      </c>
      <c r="G38" s="318">
        <f t="shared" ca="1" si="9"/>
        <v>0</v>
      </c>
      <c r="H38" s="318">
        <f t="shared" ca="1" si="9"/>
        <v>0</v>
      </c>
      <c r="I38" s="318">
        <f t="shared" ca="1" si="9"/>
        <v>0</v>
      </c>
      <c r="J38" s="318">
        <f t="shared" ca="1" si="9"/>
        <v>0</v>
      </c>
      <c r="K38" s="318">
        <f t="shared" ca="1" si="9"/>
        <v>0</v>
      </c>
      <c r="L38" s="318">
        <f t="shared" ca="1" si="9"/>
        <v>0</v>
      </c>
      <c r="M38" s="318">
        <f t="shared" ca="1" si="9"/>
        <v>0</v>
      </c>
      <c r="N38" s="318">
        <f t="shared" ca="1" si="9"/>
        <v>0</v>
      </c>
      <c r="O38" s="318">
        <f t="shared" ca="1" si="9"/>
        <v>0</v>
      </c>
      <c r="P38" s="320">
        <f>Exploitatie!$C$41</f>
        <v>0</v>
      </c>
      <c r="Q38" s="318">
        <f ca="1">IF(SUM($AC$11:$AC$12)=0,0,$AC38*(SUM(Q11:Q12)/SUM($AC$11:$AC$12)))</f>
        <v>0</v>
      </c>
      <c r="R38" s="318">
        <f t="shared" ref="R38:AB38" ca="1" si="10">IF(SUM($AC$11:$AC$12)=0,0,$AC38*(SUM(R11:R12)/SUM($AC$11:$AC$12)))</f>
        <v>0</v>
      </c>
      <c r="S38" s="318">
        <f t="shared" ca="1" si="10"/>
        <v>0</v>
      </c>
      <c r="T38" s="318">
        <f t="shared" ca="1" si="10"/>
        <v>0</v>
      </c>
      <c r="U38" s="318">
        <f t="shared" ca="1" si="10"/>
        <v>0</v>
      </c>
      <c r="V38" s="318">
        <f t="shared" ca="1" si="10"/>
        <v>0</v>
      </c>
      <c r="W38" s="318">
        <f t="shared" ca="1" si="10"/>
        <v>0</v>
      </c>
      <c r="X38" s="318">
        <f t="shared" ca="1" si="10"/>
        <v>0</v>
      </c>
      <c r="Y38" s="318">
        <f t="shared" ca="1" si="10"/>
        <v>0</v>
      </c>
      <c r="Z38" s="318">
        <f t="shared" ca="1" si="10"/>
        <v>0</v>
      </c>
      <c r="AA38" s="318">
        <f t="shared" ca="1" si="10"/>
        <v>0</v>
      </c>
      <c r="AB38" s="318">
        <f t="shared" ca="1" si="10"/>
        <v>0</v>
      </c>
      <c r="AC38" s="320">
        <f>Exploitatie!$D$41</f>
        <v>0</v>
      </c>
      <c r="AD38" s="318">
        <f ca="1">IF(SUM($AP$11:$AP$12)=0,0,$AP38*(SUM(AD11:AD12)/SUM($AP$11:$AP$12)))</f>
        <v>0</v>
      </c>
      <c r="AE38" s="318">
        <f t="shared" ref="AE38:AO38" ca="1" si="11">IF(SUM($AP$11:$AP$12)=0,0,$AP38*(SUM(AE11:AE12)/SUM($AP$11:$AP$12)))</f>
        <v>0</v>
      </c>
      <c r="AF38" s="318">
        <f t="shared" ca="1" si="11"/>
        <v>0</v>
      </c>
      <c r="AG38" s="318">
        <f t="shared" ca="1" si="11"/>
        <v>0</v>
      </c>
      <c r="AH38" s="318">
        <f t="shared" ca="1" si="11"/>
        <v>0</v>
      </c>
      <c r="AI38" s="318">
        <f t="shared" ca="1" si="11"/>
        <v>0</v>
      </c>
      <c r="AJ38" s="318">
        <f t="shared" ca="1" si="11"/>
        <v>0</v>
      </c>
      <c r="AK38" s="318">
        <f t="shared" ca="1" si="11"/>
        <v>0</v>
      </c>
      <c r="AL38" s="318">
        <f t="shared" ca="1" si="11"/>
        <v>0</v>
      </c>
      <c r="AM38" s="318">
        <f t="shared" ca="1" si="11"/>
        <v>0</v>
      </c>
      <c r="AN38" s="318">
        <f t="shared" ca="1" si="11"/>
        <v>0</v>
      </c>
      <c r="AO38" s="318">
        <f t="shared" ca="1" si="11"/>
        <v>0</v>
      </c>
      <c r="AP38" s="320">
        <f>Exploitatie!$E$41</f>
        <v>0</v>
      </c>
    </row>
    <row r="39" spans="2:42" ht="14.25" customHeight="1" x14ac:dyDescent="0.25">
      <c r="B39" s="317" t="str">
        <f>IF(VRAGENLIJST!$D$4=dropdowns!$A$6,Vertaling!A299,Vertaling!A300)</f>
        <v xml:space="preserve"> Privéonttrekking</v>
      </c>
      <c r="C39" s="319"/>
      <c r="D39" s="318">
        <f>IF(OR(VRAGENLIJST!$D$4=dropdowns!$B$6,VRAGENLIJST!$D$4=dropdowns!$C$6),0,IF(AND(OR(VRAGENLIJST!$D$4=dropdowns!$B$4,VRAGENLIJST!$D$4=dropdowns!$C$4),Liquiditeit!D3&lt;=IF(VRAGENLIJST!$D$21="",0,IFERROR(VLOOKUP(VRAGENLIJST!$D$21,dropdowns!$B$14:$F$21,5,FALSE),VLOOKUP(VRAGENLIJST!$D$21,dropdowns!$C$14:$F$21,4,FALSE)))),0,IF(AND(OR(VRAGENLIJST!$D$4=dropdowns!$B$4,VRAGENLIJST!$D$4=dropdowns!$C$4),Liquiditeit!D3&gt;IF(VRAGENLIJST!$D$21="",0,IFERROR(VLOOKUP(VRAGENLIJST!$D$21,dropdowns!$B$14:$F$21,5,FALSE),VLOOKUP(VRAGENLIJST!$D$21,dropdowns!$C$14:$F$21,4,FALSE)))),0,IF(AND(OR(VRAGENLIJST!$D$4=dropdowns!$B$5,VRAGENLIJST!$D$4=dropdowns!$C$5),Liquiditeit!D3&lt;=IF(VRAGENLIJST!$D$21="",0,IFERROR(VLOOKUP(VRAGENLIJST!$D$21,dropdowns!$B$14:$F$21,5,FALSE),VLOOKUP(VRAGENLIJST!$D$21,dropdowns!$C$14:$F$21,4,FALSE)))),0,IF(AND(OR(VRAGENLIJST!$D$4=dropdowns!$B$5,VRAGENLIJST!$D$4=dropdowns!$C$5),Liquiditeit!D3&gt;IF(VRAGENLIJST!$D$21="",0,IFERROR(VLOOKUP(VRAGENLIJST!$D$21,dropdowns!$B$14:$F$21,5,FALSE),VLOOKUP(VRAGENLIJST!$D$21,dropdowns!$C$14:$F$21,4,FALSE)))),0,0)))))+IF(AND(OR(VRAGENLIJST!$D$4=dropdowns!$B$5,VRAGENLIJST!$D$4=dropdowns!$C$5),Liquiditeit!D3&lt;=IF(VRAGENLIJST!$D$21="",0,IFERROR(VLOOKUP(VRAGENLIJST!$D$21,dropdowns!$B$14:$F$21,5,FALSE),VLOOKUP(VRAGENLIJST!$D$21,dropdowns!$C$14:$F$21,4,FALSE)))),VRAGENLIJST!$D$66,IF(AND(OR(VRAGENLIJST!$D$4=dropdowns!$B$5,VRAGENLIJST!$D$4=dropdowns!$C$5),Liquiditeit!D3&gt;IF(VRAGENLIJST!$D$21="",0,IFERROR(VLOOKUP(VRAGENLIJST!$D$21,dropdowns!$B$14:$F$21,5,FALSE),VLOOKUP(VRAGENLIJST!$D$21,dropdowns!$C$14:$F$21,4,FALSE)))),IF(SUM(VRAGENLIJST!$D$39:$D$61)-VRAGENLIJST!$D$34+IF(IF(VRAGENLIJST!$D$21="",0,IFERROR(VLOOKUP(VRAGENLIJST!$D$21,dropdowns!$B$14:$F$21,5,FALSE),VLOOKUP(VRAGENLIJST!$D$21,dropdowns!$C$14:$F$21,4,FALSE)))&gt;0,VRAGENLIJST!$D$19,0)&lt;0,0,SUM(VRAGENLIJST!$D$39:$D$61)-VRAGENLIJST!$D$34+IF(IF(VRAGENLIJST!$D$21="",0,IFERROR(VLOOKUP(VRAGENLIJST!$D$21,dropdowns!$B$14:$F$21,5,FALSE),VLOOKUP(VRAGENLIJST!$D$21,dropdowns!$C$14:$F$21,4,FALSE)))&gt;0,VRAGENLIJST!$D$19,0)),0))</f>
        <v>0</v>
      </c>
      <c r="E39" s="318">
        <f>IF(OR(VRAGENLIJST!$D$4=dropdowns!$B$6,VRAGENLIJST!$D$4=dropdowns!$C$6),0,IF(AND(OR(VRAGENLIJST!$D$4=dropdowns!$B$4,VRAGENLIJST!$D$4=dropdowns!$C$4),Liquiditeit!E3&lt;=IF(VRAGENLIJST!$D$21="",0,IFERROR(VLOOKUP(VRAGENLIJST!$D$21,dropdowns!$B$14:$F$21,5,FALSE),VLOOKUP(VRAGENLIJST!$D$21,dropdowns!$C$14:$F$21,4,FALSE)))),0,IF(AND(OR(VRAGENLIJST!$D$4=dropdowns!$B$4,VRAGENLIJST!$D$4=dropdowns!$C$4),Liquiditeit!E3&gt;IF(VRAGENLIJST!$D$21="",0,IFERROR(VLOOKUP(VRAGENLIJST!$D$21,dropdowns!$B$14:$F$21,5,FALSE),VLOOKUP(VRAGENLIJST!$D$21,dropdowns!$C$14:$F$21,4,FALSE)))),0,IF(AND(OR(VRAGENLIJST!$D$4=dropdowns!$B$5,VRAGENLIJST!$D$4=dropdowns!$C$5),Liquiditeit!E3&lt;=IF(VRAGENLIJST!$D$21="",0,IFERROR(VLOOKUP(VRAGENLIJST!$D$21,dropdowns!$B$14:$F$21,5,FALSE),VLOOKUP(VRAGENLIJST!$D$21,dropdowns!$C$14:$F$21,4,FALSE)))),0,IF(AND(OR(VRAGENLIJST!$D$4=dropdowns!$B$5,VRAGENLIJST!$D$4=dropdowns!$C$5),Liquiditeit!E3&gt;IF(VRAGENLIJST!$D$21="",0,IFERROR(VLOOKUP(VRAGENLIJST!$D$21,dropdowns!$B$14:$F$21,5,FALSE),VLOOKUP(VRAGENLIJST!$D$21,dropdowns!$C$14:$F$21,4,FALSE)))),0,0)))))+IF(AND(OR(VRAGENLIJST!$D$4=dropdowns!$B$5,VRAGENLIJST!$D$4=dropdowns!$C$5),Liquiditeit!E3&lt;=IF(VRAGENLIJST!$D$21="",0,IFERROR(VLOOKUP(VRAGENLIJST!$D$21,dropdowns!$B$14:$F$21,5,FALSE),VLOOKUP(VRAGENLIJST!$D$21,dropdowns!$C$14:$F$21,4,FALSE)))),VRAGENLIJST!$D$66,IF(AND(OR(VRAGENLIJST!$D$4=dropdowns!$B$5,VRAGENLIJST!$D$4=dropdowns!$C$5),Liquiditeit!E3&gt;IF(VRAGENLIJST!$D$21="",0,IFERROR(VLOOKUP(VRAGENLIJST!$D$21,dropdowns!$B$14:$F$21,5,FALSE),VLOOKUP(VRAGENLIJST!$D$21,dropdowns!$C$14:$F$21,4,FALSE)))),IF(SUM(VRAGENLIJST!$D$39:$D$61)-VRAGENLIJST!$D$34+IF(IF(VRAGENLIJST!$D$21="",0,IFERROR(VLOOKUP(VRAGENLIJST!$D$21,dropdowns!$B$14:$F$21,5,FALSE),VLOOKUP(VRAGENLIJST!$D$21,dropdowns!$C$14:$F$21,4,FALSE)))&gt;0,VRAGENLIJST!$D$19,0)&lt;0,0,SUM(VRAGENLIJST!$D$39:$D$61)-VRAGENLIJST!$D$34+IF(IF(VRAGENLIJST!$D$21="",0,IFERROR(VLOOKUP(VRAGENLIJST!$D$21,dropdowns!$B$14:$F$21,5,FALSE),VLOOKUP(VRAGENLIJST!$D$21,dropdowns!$C$14:$F$21,4,FALSE)))&gt;0,VRAGENLIJST!$D$19,0)),0))</f>
        <v>0</v>
      </c>
      <c r="F39" s="318">
        <f>IF(OR(VRAGENLIJST!$D$4=dropdowns!$B$6,VRAGENLIJST!$D$4=dropdowns!$C$6),0,IF(AND(OR(VRAGENLIJST!$D$4=dropdowns!$B$4,VRAGENLIJST!$D$4=dropdowns!$C$4),Liquiditeit!F3&lt;=IF(VRAGENLIJST!$D$21="",0,IFERROR(VLOOKUP(VRAGENLIJST!$D$21,dropdowns!$B$14:$F$21,5,FALSE),VLOOKUP(VRAGENLIJST!$D$21,dropdowns!$C$14:$F$21,4,FALSE)))),0,IF(AND(OR(VRAGENLIJST!$D$4=dropdowns!$B$4,VRAGENLIJST!$D$4=dropdowns!$C$4),Liquiditeit!F3&gt;IF(VRAGENLIJST!$D$21="",0,IFERROR(VLOOKUP(VRAGENLIJST!$D$21,dropdowns!$B$14:$F$21,5,FALSE),VLOOKUP(VRAGENLIJST!$D$21,dropdowns!$C$14:$F$21,4,FALSE)))),0,IF(AND(OR(VRAGENLIJST!$D$4=dropdowns!$B$5,VRAGENLIJST!$D$4=dropdowns!$C$5),Liquiditeit!F3&lt;=IF(VRAGENLIJST!$D$21="",0,IFERROR(VLOOKUP(VRAGENLIJST!$D$21,dropdowns!$B$14:$F$21,5,FALSE),VLOOKUP(VRAGENLIJST!$D$21,dropdowns!$C$14:$F$21,4,FALSE)))),0,IF(AND(OR(VRAGENLIJST!$D$4=dropdowns!$B$5,VRAGENLIJST!$D$4=dropdowns!$C$5),Liquiditeit!F3&gt;IF(VRAGENLIJST!$D$21="",0,IFERROR(VLOOKUP(VRAGENLIJST!$D$21,dropdowns!$B$14:$F$21,5,FALSE),VLOOKUP(VRAGENLIJST!$D$21,dropdowns!$C$14:$F$21,4,FALSE)))),0,0)))))+IF(AND(OR(VRAGENLIJST!$D$4=dropdowns!$B$5,VRAGENLIJST!$D$4=dropdowns!$C$5),Liquiditeit!F3&lt;=IF(VRAGENLIJST!$D$21="",0,IFERROR(VLOOKUP(VRAGENLIJST!$D$21,dropdowns!$B$14:$F$21,5,FALSE),VLOOKUP(VRAGENLIJST!$D$21,dropdowns!$C$14:$F$21,4,FALSE)))),VRAGENLIJST!$D$66,IF(AND(OR(VRAGENLIJST!$D$4=dropdowns!$B$5,VRAGENLIJST!$D$4=dropdowns!$C$5),Liquiditeit!F3&gt;IF(VRAGENLIJST!$D$21="",0,IFERROR(VLOOKUP(VRAGENLIJST!$D$21,dropdowns!$B$14:$F$21,5,FALSE),VLOOKUP(VRAGENLIJST!$D$21,dropdowns!$C$14:$F$21,4,FALSE)))),IF(SUM(VRAGENLIJST!$D$39:$D$61)-VRAGENLIJST!$D$34+IF(IF(VRAGENLIJST!$D$21="",0,IFERROR(VLOOKUP(VRAGENLIJST!$D$21,dropdowns!$B$14:$F$21,5,FALSE),VLOOKUP(VRAGENLIJST!$D$21,dropdowns!$C$14:$F$21,4,FALSE)))&gt;0,VRAGENLIJST!$D$19,0)&lt;0,0,SUM(VRAGENLIJST!$D$39:$D$61)-VRAGENLIJST!$D$34+IF(IF(VRAGENLIJST!$D$21="",0,IFERROR(VLOOKUP(VRAGENLIJST!$D$21,dropdowns!$B$14:$F$21,5,FALSE),VLOOKUP(VRAGENLIJST!$D$21,dropdowns!$C$14:$F$21,4,FALSE)))&gt;0,VRAGENLIJST!$D$19,0)),0))</f>
        <v>0</v>
      </c>
      <c r="G39" s="318">
        <f>IF(OR(VRAGENLIJST!$D$4=dropdowns!$B$6,VRAGENLIJST!$D$4=dropdowns!$C$6),0,IF(AND(OR(VRAGENLIJST!$D$4=dropdowns!$B$4,VRAGENLIJST!$D$4=dropdowns!$C$4),Liquiditeit!G3&lt;=IF(VRAGENLIJST!$D$21="",0,IFERROR(VLOOKUP(VRAGENLIJST!$D$21,dropdowns!$B$14:$F$21,5,FALSE),VLOOKUP(VRAGENLIJST!$D$21,dropdowns!$C$14:$F$21,4,FALSE)))),0,IF(AND(OR(VRAGENLIJST!$D$4=dropdowns!$B$4,VRAGENLIJST!$D$4=dropdowns!$C$4),Liquiditeit!G3&gt;IF(VRAGENLIJST!$D$21="",0,IFERROR(VLOOKUP(VRAGENLIJST!$D$21,dropdowns!$B$14:$F$21,5,FALSE),VLOOKUP(VRAGENLIJST!$D$21,dropdowns!$C$14:$F$21,4,FALSE)))),0,IF(AND(OR(VRAGENLIJST!$D$4=dropdowns!$B$5,VRAGENLIJST!$D$4=dropdowns!$C$5),Liquiditeit!G3&lt;=IF(VRAGENLIJST!$D$21="",0,IFERROR(VLOOKUP(VRAGENLIJST!$D$21,dropdowns!$B$14:$F$21,5,FALSE),VLOOKUP(VRAGENLIJST!$D$21,dropdowns!$C$14:$F$21,4,FALSE)))),0,IF(AND(OR(VRAGENLIJST!$D$4=dropdowns!$B$5,VRAGENLIJST!$D$4=dropdowns!$C$5),Liquiditeit!G3&gt;IF(VRAGENLIJST!$D$21="",0,IFERROR(VLOOKUP(VRAGENLIJST!$D$21,dropdowns!$B$14:$F$21,5,FALSE),VLOOKUP(VRAGENLIJST!$D$21,dropdowns!$C$14:$F$21,4,FALSE)))),0,0)))))+IF(AND(OR(VRAGENLIJST!$D$4=dropdowns!$B$5,VRAGENLIJST!$D$4=dropdowns!$C$5),Liquiditeit!G3&lt;=IF(VRAGENLIJST!$D$21="",0,IFERROR(VLOOKUP(VRAGENLIJST!$D$21,dropdowns!$B$14:$F$21,5,FALSE),VLOOKUP(VRAGENLIJST!$D$21,dropdowns!$C$14:$F$21,4,FALSE)))),VRAGENLIJST!$D$66,IF(AND(OR(VRAGENLIJST!$D$4=dropdowns!$B$5,VRAGENLIJST!$D$4=dropdowns!$C$5),Liquiditeit!G3&gt;IF(VRAGENLIJST!$D$21="",0,IFERROR(VLOOKUP(VRAGENLIJST!$D$21,dropdowns!$B$14:$F$21,5,FALSE),VLOOKUP(VRAGENLIJST!$D$21,dropdowns!$C$14:$F$21,4,FALSE)))),IF(SUM(VRAGENLIJST!$D$39:$D$61)-VRAGENLIJST!$D$34+IF(IF(VRAGENLIJST!$D$21="",0,IFERROR(VLOOKUP(VRAGENLIJST!$D$21,dropdowns!$B$14:$F$21,5,FALSE),VLOOKUP(VRAGENLIJST!$D$21,dropdowns!$C$14:$F$21,4,FALSE)))&gt;0,VRAGENLIJST!$D$19,0)&lt;0,0,SUM(VRAGENLIJST!$D$39:$D$61)-VRAGENLIJST!$D$34+IF(IF(VRAGENLIJST!$D$21="",0,IFERROR(VLOOKUP(VRAGENLIJST!$D$21,dropdowns!$B$14:$F$21,5,FALSE),VLOOKUP(VRAGENLIJST!$D$21,dropdowns!$C$14:$F$21,4,FALSE)))&gt;0,VRAGENLIJST!$D$19,0)),0))</f>
        <v>0</v>
      </c>
      <c r="H39" s="318">
        <f>IF(OR(VRAGENLIJST!$D$4=dropdowns!$B$6,VRAGENLIJST!$D$4=dropdowns!$C$6),0,IF(AND(OR(VRAGENLIJST!$D$4=dropdowns!$B$4,VRAGENLIJST!$D$4=dropdowns!$C$4),Liquiditeit!H3&lt;=IF(VRAGENLIJST!$D$21="",0,IFERROR(VLOOKUP(VRAGENLIJST!$D$21,dropdowns!$B$14:$F$21,5,FALSE),VLOOKUP(VRAGENLIJST!$D$21,dropdowns!$C$14:$F$21,4,FALSE)))),0,IF(AND(OR(VRAGENLIJST!$D$4=dropdowns!$B$4,VRAGENLIJST!$D$4=dropdowns!$C$4),Liquiditeit!H3&gt;IF(VRAGENLIJST!$D$21="",0,IFERROR(VLOOKUP(VRAGENLIJST!$D$21,dropdowns!$B$14:$F$21,5,FALSE),VLOOKUP(VRAGENLIJST!$D$21,dropdowns!$C$14:$F$21,4,FALSE)))),0,IF(AND(OR(VRAGENLIJST!$D$4=dropdowns!$B$5,VRAGENLIJST!$D$4=dropdowns!$C$5),Liquiditeit!H3&lt;=IF(VRAGENLIJST!$D$21="",0,IFERROR(VLOOKUP(VRAGENLIJST!$D$21,dropdowns!$B$14:$F$21,5,FALSE),VLOOKUP(VRAGENLIJST!$D$21,dropdowns!$C$14:$F$21,4,FALSE)))),0,IF(AND(OR(VRAGENLIJST!$D$4=dropdowns!$B$5,VRAGENLIJST!$D$4=dropdowns!$C$5),Liquiditeit!H3&gt;IF(VRAGENLIJST!$D$21="",0,IFERROR(VLOOKUP(VRAGENLIJST!$D$21,dropdowns!$B$14:$F$21,5,FALSE),VLOOKUP(VRAGENLIJST!$D$21,dropdowns!$C$14:$F$21,4,FALSE)))),0,0)))))+IF(AND(OR(VRAGENLIJST!$D$4=dropdowns!$B$5,VRAGENLIJST!$D$4=dropdowns!$C$5),Liquiditeit!H3&lt;=IF(VRAGENLIJST!$D$21="",0,IFERROR(VLOOKUP(VRAGENLIJST!$D$21,dropdowns!$B$14:$F$21,5,FALSE),VLOOKUP(VRAGENLIJST!$D$21,dropdowns!$C$14:$F$21,4,FALSE)))),VRAGENLIJST!$D$66,IF(AND(OR(VRAGENLIJST!$D$4=dropdowns!$B$5,VRAGENLIJST!$D$4=dropdowns!$C$5),Liquiditeit!H3&gt;IF(VRAGENLIJST!$D$21="",0,IFERROR(VLOOKUP(VRAGENLIJST!$D$21,dropdowns!$B$14:$F$21,5,FALSE),VLOOKUP(VRAGENLIJST!$D$21,dropdowns!$C$14:$F$21,4,FALSE)))),IF(SUM(VRAGENLIJST!$D$39:$D$61)-VRAGENLIJST!$D$34+IF(IF(VRAGENLIJST!$D$21="",0,IFERROR(VLOOKUP(VRAGENLIJST!$D$21,dropdowns!$B$14:$F$21,5,FALSE),VLOOKUP(VRAGENLIJST!$D$21,dropdowns!$C$14:$F$21,4,FALSE)))&gt;0,VRAGENLIJST!$D$19,0)&lt;0,0,SUM(VRAGENLIJST!$D$39:$D$61)-VRAGENLIJST!$D$34+IF(IF(VRAGENLIJST!$D$21="",0,IFERROR(VLOOKUP(VRAGENLIJST!$D$21,dropdowns!$B$14:$F$21,5,FALSE),VLOOKUP(VRAGENLIJST!$D$21,dropdowns!$C$14:$F$21,4,FALSE)))&gt;0,VRAGENLIJST!$D$19,0)),0))</f>
        <v>0</v>
      </c>
      <c r="I39" s="318">
        <f>IF(OR(VRAGENLIJST!$D$4=dropdowns!$B$6,VRAGENLIJST!$D$4=dropdowns!$C$6),0,IF(AND(OR(VRAGENLIJST!$D$4=dropdowns!$B$4,VRAGENLIJST!$D$4=dropdowns!$C$4),Liquiditeit!I3&lt;=IF(VRAGENLIJST!$D$21="",0,IFERROR(VLOOKUP(VRAGENLIJST!$D$21,dropdowns!$B$14:$F$21,5,FALSE),VLOOKUP(VRAGENLIJST!$D$21,dropdowns!$C$14:$F$21,4,FALSE)))),0,IF(AND(OR(VRAGENLIJST!$D$4=dropdowns!$B$4,VRAGENLIJST!$D$4=dropdowns!$C$4),Liquiditeit!I3&gt;IF(VRAGENLIJST!$D$21="",0,IFERROR(VLOOKUP(VRAGENLIJST!$D$21,dropdowns!$B$14:$F$21,5,FALSE),VLOOKUP(VRAGENLIJST!$D$21,dropdowns!$C$14:$F$21,4,FALSE)))),0,IF(AND(OR(VRAGENLIJST!$D$4=dropdowns!$B$5,VRAGENLIJST!$D$4=dropdowns!$C$5),Liquiditeit!I3&lt;=IF(VRAGENLIJST!$D$21="",0,IFERROR(VLOOKUP(VRAGENLIJST!$D$21,dropdowns!$B$14:$F$21,5,FALSE),VLOOKUP(VRAGENLIJST!$D$21,dropdowns!$C$14:$F$21,4,FALSE)))),0,IF(AND(OR(VRAGENLIJST!$D$4=dropdowns!$B$5,VRAGENLIJST!$D$4=dropdowns!$C$5),Liquiditeit!I3&gt;IF(VRAGENLIJST!$D$21="",0,IFERROR(VLOOKUP(VRAGENLIJST!$D$21,dropdowns!$B$14:$F$21,5,FALSE),VLOOKUP(VRAGENLIJST!$D$21,dropdowns!$C$14:$F$21,4,FALSE)))),0,0)))))+IF(AND(OR(VRAGENLIJST!$D$4=dropdowns!$B$5,VRAGENLIJST!$D$4=dropdowns!$C$5),Liquiditeit!I3&lt;=IF(VRAGENLIJST!$D$21="",0,IFERROR(VLOOKUP(VRAGENLIJST!$D$21,dropdowns!$B$14:$F$21,5,FALSE),VLOOKUP(VRAGENLIJST!$D$21,dropdowns!$C$14:$F$21,4,FALSE)))),VRAGENLIJST!$D$66,IF(AND(OR(VRAGENLIJST!$D$4=dropdowns!$B$5,VRAGENLIJST!$D$4=dropdowns!$C$5),Liquiditeit!I3&gt;IF(VRAGENLIJST!$D$21="",0,IFERROR(VLOOKUP(VRAGENLIJST!$D$21,dropdowns!$B$14:$F$21,5,FALSE),VLOOKUP(VRAGENLIJST!$D$21,dropdowns!$C$14:$F$21,4,FALSE)))),IF(SUM(VRAGENLIJST!$D$39:$D$61)-VRAGENLIJST!$D$34+IF(IF(VRAGENLIJST!$D$21="",0,IFERROR(VLOOKUP(VRAGENLIJST!$D$21,dropdowns!$B$14:$F$21,5,FALSE),VLOOKUP(VRAGENLIJST!$D$21,dropdowns!$C$14:$F$21,4,FALSE)))&gt;0,VRAGENLIJST!$D$19,0)&lt;0,0,SUM(VRAGENLIJST!$D$39:$D$61)-VRAGENLIJST!$D$34+IF(IF(VRAGENLIJST!$D$21="",0,IFERROR(VLOOKUP(VRAGENLIJST!$D$21,dropdowns!$B$14:$F$21,5,FALSE),VLOOKUP(VRAGENLIJST!$D$21,dropdowns!$C$14:$F$21,4,FALSE)))&gt;0,VRAGENLIJST!$D$19,0)),0))</f>
        <v>0</v>
      </c>
      <c r="J39" s="318">
        <f>IF(OR(VRAGENLIJST!$D$4=dropdowns!$B$6,VRAGENLIJST!$D$4=dropdowns!$C$6),0,IF(AND(OR(VRAGENLIJST!$D$4=dropdowns!$B$4,VRAGENLIJST!$D$4=dropdowns!$C$4),Liquiditeit!J3&lt;=IF(VRAGENLIJST!$D$21="",0,IFERROR(VLOOKUP(VRAGENLIJST!$D$21,dropdowns!$B$14:$F$21,5,FALSE),VLOOKUP(VRAGENLIJST!$D$21,dropdowns!$C$14:$F$21,4,FALSE)))),0,IF(AND(OR(VRAGENLIJST!$D$4=dropdowns!$B$4,VRAGENLIJST!$D$4=dropdowns!$C$4),Liquiditeit!J3&gt;IF(VRAGENLIJST!$D$21="",0,IFERROR(VLOOKUP(VRAGENLIJST!$D$21,dropdowns!$B$14:$F$21,5,FALSE),VLOOKUP(VRAGENLIJST!$D$21,dropdowns!$C$14:$F$21,4,FALSE)))),0,IF(AND(OR(VRAGENLIJST!$D$4=dropdowns!$B$5,VRAGENLIJST!$D$4=dropdowns!$C$5),Liquiditeit!J3&lt;=IF(VRAGENLIJST!$D$21="",0,IFERROR(VLOOKUP(VRAGENLIJST!$D$21,dropdowns!$B$14:$F$21,5,FALSE),VLOOKUP(VRAGENLIJST!$D$21,dropdowns!$C$14:$F$21,4,FALSE)))),0,IF(AND(OR(VRAGENLIJST!$D$4=dropdowns!$B$5,VRAGENLIJST!$D$4=dropdowns!$C$5),Liquiditeit!J3&gt;IF(VRAGENLIJST!$D$21="",0,IFERROR(VLOOKUP(VRAGENLIJST!$D$21,dropdowns!$B$14:$F$21,5,FALSE),VLOOKUP(VRAGENLIJST!$D$21,dropdowns!$C$14:$F$21,4,FALSE)))),0,0)))))+IF(AND(OR(VRAGENLIJST!$D$4=dropdowns!$B$5,VRAGENLIJST!$D$4=dropdowns!$C$5),Liquiditeit!J3&lt;=IF(VRAGENLIJST!$D$21="",0,IFERROR(VLOOKUP(VRAGENLIJST!$D$21,dropdowns!$B$14:$F$21,5,FALSE),VLOOKUP(VRAGENLIJST!$D$21,dropdowns!$C$14:$F$21,4,FALSE)))),VRAGENLIJST!$D$66,IF(AND(OR(VRAGENLIJST!$D$4=dropdowns!$B$5,VRAGENLIJST!$D$4=dropdowns!$C$5),Liquiditeit!J3&gt;IF(VRAGENLIJST!$D$21="",0,IFERROR(VLOOKUP(VRAGENLIJST!$D$21,dropdowns!$B$14:$F$21,5,FALSE),VLOOKUP(VRAGENLIJST!$D$21,dropdowns!$C$14:$F$21,4,FALSE)))),IF(SUM(VRAGENLIJST!$D$39:$D$61)-VRAGENLIJST!$D$34+IF(IF(VRAGENLIJST!$D$21="",0,IFERROR(VLOOKUP(VRAGENLIJST!$D$21,dropdowns!$B$14:$F$21,5,FALSE),VLOOKUP(VRAGENLIJST!$D$21,dropdowns!$C$14:$F$21,4,FALSE)))&gt;0,VRAGENLIJST!$D$19,0)&lt;0,0,SUM(VRAGENLIJST!$D$39:$D$61)-VRAGENLIJST!$D$34+IF(IF(VRAGENLIJST!$D$21="",0,IFERROR(VLOOKUP(VRAGENLIJST!$D$21,dropdowns!$B$14:$F$21,5,FALSE),VLOOKUP(VRAGENLIJST!$D$21,dropdowns!$C$14:$F$21,4,FALSE)))&gt;0,VRAGENLIJST!$D$19,0)),0))</f>
        <v>0</v>
      </c>
      <c r="K39" s="318">
        <f>IF(OR(VRAGENLIJST!$D$4=dropdowns!$B$6,VRAGENLIJST!$D$4=dropdowns!$C$6),0,IF(AND(OR(VRAGENLIJST!$D$4=dropdowns!$B$4,VRAGENLIJST!$D$4=dropdowns!$C$4),Liquiditeit!K3&lt;=IF(VRAGENLIJST!$D$21="",0,IFERROR(VLOOKUP(VRAGENLIJST!$D$21,dropdowns!$B$14:$F$21,5,FALSE),VLOOKUP(VRAGENLIJST!$D$21,dropdowns!$C$14:$F$21,4,FALSE)))),0,IF(AND(OR(VRAGENLIJST!$D$4=dropdowns!$B$4,VRAGENLIJST!$D$4=dropdowns!$C$4),Liquiditeit!K3&gt;IF(VRAGENLIJST!$D$21="",0,IFERROR(VLOOKUP(VRAGENLIJST!$D$21,dropdowns!$B$14:$F$21,5,FALSE),VLOOKUP(VRAGENLIJST!$D$21,dropdowns!$C$14:$F$21,4,FALSE)))),0,IF(AND(OR(VRAGENLIJST!$D$4=dropdowns!$B$5,VRAGENLIJST!$D$4=dropdowns!$C$5),Liquiditeit!K3&lt;=IF(VRAGENLIJST!$D$21="",0,IFERROR(VLOOKUP(VRAGENLIJST!$D$21,dropdowns!$B$14:$F$21,5,FALSE),VLOOKUP(VRAGENLIJST!$D$21,dropdowns!$C$14:$F$21,4,FALSE)))),0,IF(AND(OR(VRAGENLIJST!$D$4=dropdowns!$B$5,VRAGENLIJST!$D$4=dropdowns!$C$5),Liquiditeit!K3&gt;IF(VRAGENLIJST!$D$21="",0,IFERROR(VLOOKUP(VRAGENLIJST!$D$21,dropdowns!$B$14:$F$21,5,FALSE),VLOOKUP(VRAGENLIJST!$D$21,dropdowns!$C$14:$F$21,4,FALSE)))),0,0)))))+IF(AND(OR(VRAGENLIJST!$D$4=dropdowns!$B$5,VRAGENLIJST!$D$4=dropdowns!$C$5),Liquiditeit!K3&lt;=IF(VRAGENLIJST!$D$21="",0,IFERROR(VLOOKUP(VRAGENLIJST!$D$21,dropdowns!$B$14:$F$21,5,FALSE),VLOOKUP(VRAGENLIJST!$D$21,dropdowns!$C$14:$F$21,4,FALSE)))),VRAGENLIJST!$D$66,IF(AND(OR(VRAGENLIJST!$D$4=dropdowns!$B$5,VRAGENLIJST!$D$4=dropdowns!$C$5),Liquiditeit!K3&gt;IF(VRAGENLIJST!$D$21="",0,IFERROR(VLOOKUP(VRAGENLIJST!$D$21,dropdowns!$B$14:$F$21,5,FALSE),VLOOKUP(VRAGENLIJST!$D$21,dropdowns!$C$14:$F$21,4,FALSE)))),IF(SUM(VRAGENLIJST!$D$39:$D$61)-VRAGENLIJST!$D$34+IF(IF(VRAGENLIJST!$D$21="",0,IFERROR(VLOOKUP(VRAGENLIJST!$D$21,dropdowns!$B$14:$F$21,5,FALSE),VLOOKUP(VRAGENLIJST!$D$21,dropdowns!$C$14:$F$21,4,FALSE)))&gt;0,VRAGENLIJST!$D$19,0)&lt;0,0,SUM(VRAGENLIJST!$D$39:$D$61)-VRAGENLIJST!$D$34+IF(IF(VRAGENLIJST!$D$21="",0,IFERROR(VLOOKUP(VRAGENLIJST!$D$21,dropdowns!$B$14:$F$21,5,FALSE),VLOOKUP(VRAGENLIJST!$D$21,dropdowns!$C$14:$F$21,4,FALSE)))&gt;0,VRAGENLIJST!$D$19,0)),0))</f>
        <v>0</v>
      </c>
      <c r="L39" s="318">
        <f>IF(OR(VRAGENLIJST!$D$4=dropdowns!$B$6,VRAGENLIJST!$D$4=dropdowns!$C$6),0,IF(AND(OR(VRAGENLIJST!$D$4=dropdowns!$B$4,VRAGENLIJST!$D$4=dropdowns!$C$4),Liquiditeit!L3&lt;=IF(VRAGENLIJST!$D$21="",0,IFERROR(VLOOKUP(VRAGENLIJST!$D$21,dropdowns!$B$14:$F$21,5,FALSE),VLOOKUP(VRAGENLIJST!$D$21,dropdowns!$C$14:$F$21,4,FALSE)))),0,IF(AND(OR(VRAGENLIJST!$D$4=dropdowns!$B$4,VRAGENLIJST!$D$4=dropdowns!$C$4),Liquiditeit!L3&gt;IF(VRAGENLIJST!$D$21="",0,IFERROR(VLOOKUP(VRAGENLIJST!$D$21,dropdowns!$B$14:$F$21,5,FALSE),VLOOKUP(VRAGENLIJST!$D$21,dropdowns!$C$14:$F$21,4,FALSE)))),0,IF(AND(OR(VRAGENLIJST!$D$4=dropdowns!$B$5,VRAGENLIJST!$D$4=dropdowns!$C$5),Liquiditeit!L3&lt;=IF(VRAGENLIJST!$D$21="",0,IFERROR(VLOOKUP(VRAGENLIJST!$D$21,dropdowns!$B$14:$F$21,5,FALSE),VLOOKUP(VRAGENLIJST!$D$21,dropdowns!$C$14:$F$21,4,FALSE)))),0,IF(AND(OR(VRAGENLIJST!$D$4=dropdowns!$B$5,VRAGENLIJST!$D$4=dropdowns!$C$5),Liquiditeit!L3&gt;IF(VRAGENLIJST!$D$21="",0,IFERROR(VLOOKUP(VRAGENLIJST!$D$21,dropdowns!$B$14:$F$21,5,FALSE),VLOOKUP(VRAGENLIJST!$D$21,dropdowns!$C$14:$F$21,4,FALSE)))),0,0)))))+IF(AND(OR(VRAGENLIJST!$D$4=dropdowns!$B$5,VRAGENLIJST!$D$4=dropdowns!$C$5),Liquiditeit!L3&lt;=IF(VRAGENLIJST!$D$21="",0,IFERROR(VLOOKUP(VRAGENLIJST!$D$21,dropdowns!$B$14:$F$21,5,FALSE),VLOOKUP(VRAGENLIJST!$D$21,dropdowns!$C$14:$F$21,4,FALSE)))),VRAGENLIJST!$D$66,IF(AND(OR(VRAGENLIJST!$D$4=dropdowns!$B$5,VRAGENLIJST!$D$4=dropdowns!$C$5),Liquiditeit!L3&gt;IF(VRAGENLIJST!$D$21="",0,IFERROR(VLOOKUP(VRAGENLIJST!$D$21,dropdowns!$B$14:$F$21,5,FALSE),VLOOKUP(VRAGENLIJST!$D$21,dropdowns!$C$14:$F$21,4,FALSE)))),IF(SUM(VRAGENLIJST!$D$39:$D$61)-VRAGENLIJST!$D$34+IF(IF(VRAGENLIJST!$D$21="",0,IFERROR(VLOOKUP(VRAGENLIJST!$D$21,dropdowns!$B$14:$F$21,5,FALSE),VLOOKUP(VRAGENLIJST!$D$21,dropdowns!$C$14:$F$21,4,FALSE)))&gt;0,VRAGENLIJST!$D$19,0)&lt;0,0,SUM(VRAGENLIJST!$D$39:$D$61)-VRAGENLIJST!$D$34+IF(IF(VRAGENLIJST!$D$21="",0,IFERROR(VLOOKUP(VRAGENLIJST!$D$21,dropdowns!$B$14:$F$21,5,FALSE),VLOOKUP(VRAGENLIJST!$D$21,dropdowns!$C$14:$F$21,4,FALSE)))&gt;0,VRAGENLIJST!$D$19,0)),0))</f>
        <v>0</v>
      </c>
      <c r="M39" s="318">
        <f>IF(OR(VRAGENLIJST!$D$4=dropdowns!$B$6,VRAGENLIJST!$D$4=dropdowns!$C$6),0,IF(AND(OR(VRAGENLIJST!$D$4=dropdowns!$B$4,VRAGENLIJST!$D$4=dropdowns!$C$4),Liquiditeit!M3&lt;=IF(VRAGENLIJST!$D$21="",0,IFERROR(VLOOKUP(VRAGENLIJST!$D$21,dropdowns!$B$14:$F$21,5,FALSE),VLOOKUP(VRAGENLIJST!$D$21,dropdowns!$C$14:$F$21,4,FALSE)))),0,IF(AND(OR(VRAGENLIJST!$D$4=dropdowns!$B$4,VRAGENLIJST!$D$4=dropdowns!$C$4),Liquiditeit!M3&gt;IF(VRAGENLIJST!$D$21="",0,IFERROR(VLOOKUP(VRAGENLIJST!$D$21,dropdowns!$B$14:$F$21,5,FALSE),VLOOKUP(VRAGENLIJST!$D$21,dropdowns!$C$14:$F$21,4,FALSE)))),0,IF(AND(OR(VRAGENLIJST!$D$4=dropdowns!$B$5,VRAGENLIJST!$D$4=dropdowns!$C$5),Liquiditeit!M3&lt;=IF(VRAGENLIJST!$D$21="",0,IFERROR(VLOOKUP(VRAGENLIJST!$D$21,dropdowns!$B$14:$F$21,5,FALSE),VLOOKUP(VRAGENLIJST!$D$21,dropdowns!$C$14:$F$21,4,FALSE)))),0,IF(AND(OR(VRAGENLIJST!$D$4=dropdowns!$B$5,VRAGENLIJST!$D$4=dropdowns!$C$5),Liquiditeit!M3&gt;IF(VRAGENLIJST!$D$21="",0,IFERROR(VLOOKUP(VRAGENLIJST!$D$21,dropdowns!$B$14:$F$21,5,FALSE),VLOOKUP(VRAGENLIJST!$D$21,dropdowns!$C$14:$F$21,4,FALSE)))),0,0)))))+IF(AND(OR(VRAGENLIJST!$D$4=dropdowns!$B$5,VRAGENLIJST!$D$4=dropdowns!$C$5),Liquiditeit!M3&lt;=IF(VRAGENLIJST!$D$21="",0,IFERROR(VLOOKUP(VRAGENLIJST!$D$21,dropdowns!$B$14:$F$21,5,FALSE),VLOOKUP(VRAGENLIJST!$D$21,dropdowns!$C$14:$F$21,4,FALSE)))),VRAGENLIJST!$D$66,IF(AND(OR(VRAGENLIJST!$D$4=dropdowns!$B$5,VRAGENLIJST!$D$4=dropdowns!$C$5),Liquiditeit!M3&gt;IF(VRAGENLIJST!$D$21="",0,IFERROR(VLOOKUP(VRAGENLIJST!$D$21,dropdowns!$B$14:$F$21,5,FALSE),VLOOKUP(VRAGENLIJST!$D$21,dropdowns!$C$14:$F$21,4,FALSE)))),IF(SUM(VRAGENLIJST!$D$39:$D$61)-VRAGENLIJST!$D$34+IF(IF(VRAGENLIJST!$D$21="",0,IFERROR(VLOOKUP(VRAGENLIJST!$D$21,dropdowns!$B$14:$F$21,5,FALSE),VLOOKUP(VRAGENLIJST!$D$21,dropdowns!$C$14:$F$21,4,FALSE)))&gt;0,VRAGENLIJST!$D$19,0)&lt;0,0,SUM(VRAGENLIJST!$D$39:$D$61)-VRAGENLIJST!$D$34+IF(IF(VRAGENLIJST!$D$21="",0,IFERROR(VLOOKUP(VRAGENLIJST!$D$21,dropdowns!$B$14:$F$21,5,FALSE),VLOOKUP(VRAGENLIJST!$D$21,dropdowns!$C$14:$F$21,4,FALSE)))&gt;0,VRAGENLIJST!$D$19,0)),0))</f>
        <v>0</v>
      </c>
      <c r="N39" s="318">
        <f>IF(OR(VRAGENLIJST!$D$4=dropdowns!$B$6,VRAGENLIJST!$D$4=dropdowns!$C$6),0,IF(AND(OR(VRAGENLIJST!$D$4=dropdowns!$B$4,VRAGENLIJST!$D$4=dropdowns!$C$4),Liquiditeit!N3&lt;=IF(VRAGENLIJST!$D$21="",0,IFERROR(VLOOKUP(VRAGENLIJST!$D$21,dropdowns!$B$14:$F$21,5,FALSE),VLOOKUP(VRAGENLIJST!$D$21,dropdowns!$C$14:$F$21,4,FALSE)))),0,IF(AND(OR(VRAGENLIJST!$D$4=dropdowns!$B$4,VRAGENLIJST!$D$4=dropdowns!$C$4),Liquiditeit!N3&gt;IF(VRAGENLIJST!$D$21="",0,IFERROR(VLOOKUP(VRAGENLIJST!$D$21,dropdowns!$B$14:$F$21,5,FALSE),VLOOKUP(VRAGENLIJST!$D$21,dropdowns!$C$14:$F$21,4,FALSE)))),0,IF(AND(OR(VRAGENLIJST!$D$4=dropdowns!$B$5,VRAGENLIJST!$D$4=dropdowns!$C$5),Liquiditeit!N3&lt;=IF(VRAGENLIJST!$D$21="",0,IFERROR(VLOOKUP(VRAGENLIJST!$D$21,dropdowns!$B$14:$F$21,5,FALSE),VLOOKUP(VRAGENLIJST!$D$21,dropdowns!$C$14:$F$21,4,FALSE)))),0,IF(AND(OR(VRAGENLIJST!$D$4=dropdowns!$B$5,VRAGENLIJST!$D$4=dropdowns!$C$5),Liquiditeit!N3&gt;IF(VRAGENLIJST!$D$21="",0,IFERROR(VLOOKUP(VRAGENLIJST!$D$21,dropdowns!$B$14:$F$21,5,FALSE),VLOOKUP(VRAGENLIJST!$D$21,dropdowns!$C$14:$F$21,4,FALSE)))),0,0)))))+IF(AND(OR(VRAGENLIJST!$D$4=dropdowns!$B$5,VRAGENLIJST!$D$4=dropdowns!$C$5),Liquiditeit!N3&lt;=IF(VRAGENLIJST!$D$21="",0,IFERROR(VLOOKUP(VRAGENLIJST!$D$21,dropdowns!$B$14:$F$21,5,FALSE),VLOOKUP(VRAGENLIJST!$D$21,dropdowns!$C$14:$F$21,4,FALSE)))),VRAGENLIJST!$D$66,IF(AND(OR(VRAGENLIJST!$D$4=dropdowns!$B$5,VRAGENLIJST!$D$4=dropdowns!$C$5),Liquiditeit!N3&gt;IF(VRAGENLIJST!$D$21="",0,IFERROR(VLOOKUP(VRAGENLIJST!$D$21,dropdowns!$B$14:$F$21,5,FALSE),VLOOKUP(VRAGENLIJST!$D$21,dropdowns!$C$14:$F$21,4,FALSE)))),IF(SUM(VRAGENLIJST!$D$39:$D$61)-VRAGENLIJST!$D$34+IF(IF(VRAGENLIJST!$D$21="",0,IFERROR(VLOOKUP(VRAGENLIJST!$D$21,dropdowns!$B$14:$F$21,5,FALSE),VLOOKUP(VRAGENLIJST!$D$21,dropdowns!$C$14:$F$21,4,FALSE)))&gt;0,VRAGENLIJST!$D$19,0)&lt;0,0,SUM(VRAGENLIJST!$D$39:$D$61)-VRAGENLIJST!$D$34+IF(IF(VRAGENLIJST!$D$21="",0,IFERROR(VLOOKUP(VRAGENLIJST!$D$21,dropdowns!$B$14:$F$21,5,FALSE),VLOOKUP(VRAGENLIJST!$D$21,dropdowns!$C$14:$F$21,4,FALSE)))&gt;0,VRAGENLIJST!$D$19,0)),0))</f>
        <v>0</v>
      </c>
      <c r="O39" s="318">
        <f>IF(OR(VRAGENLIJST!$D$4=dropdowns!$B$6,VRAGENLIJST!$D$4=dropdowns!$C$6),0,IF(AND(OR(VRAGENLIJST!$D$4=dropdowns!$B$4,VRAGENLIJST!$D$4=dropdowns!$C$4),Liquiditeit!O3&lt;=IF(VRAGENLIJST!$D$21="",0,IFERROR(VLOOKUP(VRAGENLIJST!$D$21,dropdowns!$B$14:$F$21,5,FALSE),VLOOKUP(VRAGENLIJST!$D$21,dropdowns!$C$14:$F$21,4,FALSE)))),0,IF(AND(OR(VRAGENLIJST!$D$4=dropdowns!$B$4,VRAGENLIJST!$D$4=dropdowns!$C$4),Liquiditeit!O3&gt;IF(VRAGENLIJST!$D$21="",0,IFERROR(VLOOKUP(VRAGENLIJST!$D$21,dropdowns!$B$14:$F$21,5,FALSE),VLOOKUP(VRAGENLIJST!$D$21,dropdowns!$C$14:$F$21,4,FALSE)))),0,IF(AND(OR(VRAGENLIJST!$D$4=dropdowns!$B$5,VRAGENLIJST!$D$4=dropdowns!$C$5),Liquiditeit!O3&lt;=IF(VRAGENLIJST!$D$21="",0,IFERROR(VLOOKUP(VRAGENLIJST!$D$21,dropdowns!$B$14:$F$21,5,FALSE),VLOOKUP(VRAGENLIJST!$D$21,dropdowns!$C$14:$F$21,4,FALSE)))),0,IF(AND(OR(VRAGENLIJST!$D$4=dropdowns!$B$5,VRAGENLIJST!$D$4=dropdowns!$C$5),Liquiditeit!O3&gt;IF(VRAGENLIJST!$D$21="",0,IFERROR(VLOOKUP(VRAGENLIJST!$D$21,dropdowns!$B$14:$F$21,5,FALSE),VLOOKUP(VRAGENLIJST!$D$21,dropdowns!$C$14:$F$21,4,FALSE)))),0,0)))))+IF(AND(OR(VRAGENLIJST!$D$4=dropdowns!$B$5,VRAGENLIJST!$D$4=dropdowns!$C$5),Liquiditeit!O3&lt;=IF(VRAGENLIJST!$D$21="",0,IFERROR(VLOOKUP(VRAGENLIJST!$D$21,dropdowns!$B$14:$F$21,5,FALSE),VLOOKUP(VRAGENLIJST!$D$21,dropdowns!$C$14:$F$21,4,FALSE)))),VRAGENLIJST!$D$66,IF(AND(OR(VRAGENLIJST!$D$4=dropdowns!$B$5,VRAGENLIJST!$D$4=dropdowns!$C$5),Liquiditeit!O3&gt;IF(VRAGENLIJST!$D$21="",0,IFERROR(VLOOKUP(VRAGENLIJST!$D$21,dropdowns!$B$14:$F$21,5,FALSE),VLOOKUP(VRAGENLIJST!$D$21,dropdowns!$C$14:$F$21,4,FALSE)))),IF(SUM(VRAGENLIJST!$D$39:$D$61)-VRAGENLIJST!$D$34+IF(IF(VRAGENLIJST!$D$21="",0,IFERROR(VLOOKUP(VRAGENLIJST!$D$21,dropdowns!$B$14:$F$21,5,FALSE),VLOOKUP(VRAGENLIJST!$D$21,dropdowns!$C$14:$F$21,4,FALSE)))&gt;0,VRAGENLIJST!$D$19,0)&lt;0,0,SUM(VRAGENLIJST!$D$39:$D$61)-VRAGENLIJST!$D$34+IF(IF(VRAGENLIJST!$D$21="",0,IFERROR(VLOOKUP(VRAGENLIJST!$D$21,dropdowns!$B$14:$F$21,5,FALSE),VLOOKUP(VRAGENLIJST!$D$21,dropdowns!$C$14:$F$21,4,FALSE)))&gt;0,VRAGENLIJST!$D$19,0)),0))</f>
        <v>0</v>
      </c>
      <c r="P39" s="320">
        <f>SUM(D39:O39)</f>
        <v>0</v>
      </c>
      <c r="Q39" s="318">
        <f>IF(OR(VRAGENLIJST!$D$4=dropdowns!$B$6,VRAGENLIJST!$D$4=dropdowns!$C$6),0,IF(AND(OR(VRAGENLIJST!$D$4=dropdowns!$B$4,VRAGENLIJST!$D$4=dropdowns!$C$4),Liquiditeit!Q3&lt;=IF(VRAGENLIJST!$D$21="",0,IFERROR(VLOOKUP(VRAGENLIJST!$D$21,dropdowns!$B$14:$F$21,5,FALSE),VLOOKUP(VRAGENLIJST!$D$21,dropdowns!$C$14:$F$21,4,FALSE)))),0,IF(AND(OR(VRAGENLIJST!$D$4=dropdowns!$B$4,VRAGENLIJST!$D$4=dropdowns!$C$4),Liquiditeit!Q3&gt;IF(VRAGENLIJST!$D$21="",0,IFERROR(VLOOKUP(VRAGENLIJST!$D$21,dropdowns!$B$14:$F$21,5,FALSE),VLOOKUP(VRAGENLIJST!$D$21,dropdowns!$C$14:$F$21,4,FALSE)))),0,IF(AND(OR(VRAGENLIJST!$D$4=dropdowns!$B$5,VRAGENLIJST!$D$4=dropdowns!$C$5),Liquiditeit!Q3&lt;=IF(VRAGENLIJST!$D$21="",0,IFERROR(VLOOKUP(VRAGENLIJST!$D$21,dropdowns!$B$14:$F$21,5,FALSE),VLOOKUP(VRAGENLIJST!$D$21,dropdowns!$C$14:$F$21,4,FALSE)))),0,IF(AND(OR(VRAGENLIJST!$D$4=dropdowns!$B$5,VRAGENLIJST!$D$4=dropdowns!$C$5),Liquiditeit!Q3&gt;IF(VRAGENLIJST!$D$21="",0,IFERROR(VLOOKUP(VRAGENLIJST!$D$21,dropdowns!$B$14:$F$21,5,FALSE),VLOOKUP(VRAGENLIJST!$D$21,dropdowns!$C$14:$F$21,4,FALSE)))),0,0)))))+IF(AND(OR(VRAGENLIJST!$D$4=dropdowns!$B$5,VRAGENLIJST!$D$4=dropdowns!$C$5),Liquiditeit!Q3&lt;=IF(VRAGENLIJST!$D$21="",0,IFERROR(VLOOKUP(VRAGENLIJST!$D$21,dropdowns!$B$14:$F$21,5,FALSE),VLOOKUP(VRAGENLIJST!$D$21,dropdowns!$C$14:$F$21,4,FALSE)))),VRAGENLIJST!$D$66,IF(AND(OR(VRAGENLIJST!$D$4=dropdowns!$B$5,VRAGENLIJST!$D$4=dropdowns!$C$5),Liquiditeit!Q3&gt;IF(VRAGENLIJST!$D$21="",0,IFERROR(VLOOKUP(VRAGENLIJST!$D$21,dropdowns!$B$14:$F$21,5,FALSE),VLOOKUP(VRAGENLIJST!$D$21,dropdowns!$C$14:$F$21,4,FALSE)))),IF(SUM(VRAGENLIJST!$D$39:$D$61)-VRAGENLIJST!$D$34+IF(IF(VRAGENLIJST!$D$21="",0,IFERROR(VLOOKUP(VRAGENLIJST!$D$21,dropdowns!$B$14:$F$21,5,FALSE),VLOOKUP(VRAGENLIJST!$D$21,dropdowns!$C$14:$F$21,4,FALSE)))&gt;0,VRAGENLIJST!$D$19,0)&lt;0,0,SUM(VRAGENLIJST!$D$39:$D$61)-VRAGENLIJST!$D$34+IF(IF(VRAGENLIJST!$D$21="",0,IFERROR(VLOOKUP(VRAGENLIJST!$D$21,dropdowns!$B$14:$F$21,5,FALSE),VLOOKUP(VRAGENLIJST!$D$21,dropdowns!$C$14:$F$21,4,FALSE)))&gt;0,VRAGENLIJST!$D$19,0)),0))</f>
        <v>0</v>
      </c>
      <c r="R39" s="318">
        <f>IF(OR(VRAGENLIJST!$D$4=dropdowns!$B$6,VRAGENLIJST!$D$4=dropdowns!$C$6),0,IF(AND(OR(VRAGENLIJST!$D$4=dropdowns!$B$4,VRAGENLIJST!$D$4=dropdowns!$C$4),Liquiditeit!R3&lt;=IF(VRAGENLIJST!$D$21="",0,IFERROR(VLOOKUP(VRAGENLIJST!$D$21,dropdowns!$B$14:$F$21,5,FALSE),VLOOKUP(VRAGENLIJST!$D$21,dropdowns!$C$14:$F$21,4,FALSE)))),0,IF(AND(OR(VRAGENLIJST!$D$4=dropdowns!$B$4,VRAGENLIJST!$D$4=dropdowns!$C$4),Liquiditeit!R3&gt;IF(VRAGENLIJST!$D$21="",0,IFERROR(VLOOKUP(VRAGENLIJST!$D$21,dropdowns!$B$14:$F$21,5,FALSE),VLOOKUP(VRAGENLIJST!$D$21,dropdowns!$C$14:$F$21,4,FALSE)))),0,IF(AND(OR(VRAGENLIJST!$D$4=dropdowns!$B$5,VRAGENLIJST!$D$4=dropdowns!$C$5),Liquiditeit!R3&lt;=IF(VRAGENLIJST!$D$21="",0,IFERROR(VLOOKUP(VRAGENLIJST!$D$21,dropdowns!$B$14:$F$21,5,FALSE),VLOOKUP(VRAGENLIJST!$D$21,dropdowns!$C$14:$F$21,4,FALSE)))),0,IF(AND(OR(VRAGENLIJST!$D$4=dropdowns!$B$5,VRAGENLIJST!$D$4=dropdowns!$C$5),Liquiditeit!R3&gt;IF(VRAGENLIJST!$D$21="",0,IFERROR(VLOOKUP(VRAGENLIJST!$D$21,dropdowns!$B$14:$F$21,5,FALSE),VLOOKUP(VRAGENLIJST!$D$21,dropdowns!$C$14:$F$21,4,FALSE)))),0,0)))))+IF(AND(OR(VRAGENLIJST!$D$4=dropdowns!$B$5,VRAGENLIJST!$D$4=dropdowns!$C$5),Liquiditeit!R3&lt;=IF(VRAGENLIJST!$D$21="",0,IFERROR(VLOOKUP(VRAGENLIJST!$D$21,dropdowns!$B$14:$F$21,5,FALSE),VLOOKUP(VRAGENLIJST!$D$21,dropdowns!$C$14:$F$21,4,FALSE)))),VRAGENLIJST!$D$66,IF(AND(OR(VRAGENLIJST!$D$4=dropdowns!$B$5,VRAGENLIJST!$D$4=dropdowns!$C$5),Liquiditeit!R3&gt;IF(VRAGENLIJST!$D$21="",0,IFERROR(VLOOKUP(VRAGENLIJST!$D$21,dropdowns!$B$14:$F$21,5,FALSE),VLOOKUP(VRAGENLIJST!$D$21,dropdowns!$C$14:$F$21,4,FALSE)))),IF(SUM(VRAGENLIJST!$D$39:$D$61)-VRAGENLIJST!$D$34+IF(IF(VRAGENLIJST!$D$21="",0,IFERROR(VLOOKUP(VRAGENLIJST!$D$21,dropdowns!$B$14:$F$21,5,FALSE),VLOOKUP(VRAGENLIJST!$D$21,dropdowns!$C$14:$F$21,4,FALSE)))&gt;0,VRAGENLIJST!$D$19,0)&lt;0,0,SUM(VRAGENLIJST!$D$39:$D$61)-VRAGENLIJST!$D$34+IF(IF(VRAGENLIJST!$D$21="",0,IFERROR(VLOOKUP(VRAGENLIJST!$D$21,dropdowns!$B$14:$F$21,5,FALSE),VLOOKUP(VRAGENLIJST!$D$21,dropdowns!$C$14:$F$21,4,FALSE)))&gt;0,VRAGENLIJST!$D$19,0)),0))</f>
        <v>0</v>
      </c>
      <c r="S39" s="318">
        <f>IF(OR(VRAGENLIJST!$D$4=dropdowns!$B$6,VRAGENLIJST!$D$4=dropdowns!$C$6),0,IF(AND(OR(VRAGENLIJST!$D$4=dropdowns!$B$4,VRAGENLIJST!$D$4=dropdowns!$C$4),Liquiditeit!S3&lt;=IF(VRAGENLIJST!$D$21="",0,IFERROR(VLOOKUP(VRAGENLIJST!$D$21,dropdowns!$B$14:$F$21,5,FALSE),VLOOKUP(VRAGENLIJST!$D$21,dropdowns!$C$14:$F$21,4,FALSE)))),0,IF(AND(OR(VRAGENLIJST!$D$4=dropdowns!$B$4,VRAGENLIJST!$D$4=dropdowns!$C$4),Liquiditeit!S3&gt;IF(VRAGENLIJST!$D$21="",0,IFERROR(VLOOKUP(VRAGENLIJST!$D$21,dropdowns!$B$14:$F$21,5,FALSE),VLOOKUP(VRAGENLIJST!$D$21,dropdowns!$C$14:$F$21,4,FALSE)))),0,IF(AND(OR(VRAGENLIJST!$D$4=dropdowns!$B$5,VRAGENLIJST!$D$4=dropdowns!$C$5),Liquiditeit!S3&lt;=IF(VRAGENLIJST!$D$21="",0,IFERROR(VLOOKUP(VRAGENLIJST!$D$21,dropdowns!$B$14:$F$21,5,FALSE),VLOOKUP(VRAGENLIJST!$D$21,dropdowns!$C$14:$F$21,4,FALSE)))),0,IF(AND(OR(VRAGENLIJST!$D$4=dropdowns!$B$5,VRAGENLIJST!$D$4=dropdowns!$C$5),Liquiditeit!S3&gt;IF(VRAGENLIJST!$D$21="",0,IFERROR(VLOOKUP(VRAGENLIJST!$D$21,dropdowns!$B$14:$F$21,5,FALSE),VLOOKUP(VRAGENLIJST!$D$21,dropdowns!$C$14:$F$21,4,FALSE)))),0,0)))))+IF(AND(OR(VRAGENLIJST!$D$4=dropdowns!$B$5,VRAGENLIJST!$D$4=dropdowns!$C$5),Liquiditeit!S3&lt;=IF(VRAGENLIJST!$D$21="",0,IFERROR(VLOOKUP(VRAGENLIJST!$D$21,dropdowns!$B$14:$F$21,5,FALSE),VLOOKUP(VRAGENLIJST!$D$21,dropdowns!$C$14:$F$21,4,FALSE)))),VRAGENLIJST!$D$66,IF(AND(OR(VRAGENLIJST!$D$4=dropdowns!$B$5,VRAGENLIJST!$D$4=dropdowns!$C$5),Liquiditeit!S3&gt;IF(VRAGENLIJST!$D$21="",0,IFERROR(VLOOKUP(VRAGENLIJST!$D$21,dropdowns!$B$14:$F$21,5,FALSE),VLOOKUP(VRAGENLIJST!$D$21,dropdowns!$C$14:$F$21,4,FALSE)))),IF(SUM(VRAGENLIJST!$D$39:$D$61)-VRAGENLIJST!$D$34+IF(IF(VRAGENLIJST!$D$21="",0,IFERROR(VLOOKUP(VRAGENLIJST!$D$21,dropdowns!$B$14:$F$21,5,FALSE),VLOOKUP(VRAGENLIJST!$D$21,dropdowns!$C$14:$F$21,4,FALSE)))&gt;0,VRAGENLIJST!$D$19,0)&lt;0,0,SUM(VRAGENLIJST!$D$39:$D$61)-VRAGENLIJST!$D$34+IF(IF(VRAGENLIJST!$D$21="",0,IFERROR(VLOOKUP(VRAGENLIJST!$D$21,dropdowns!$B$14:$F$21,5,FALSE),VLOOKUP(VRAGENLIJST!$D$21,dropdowns!$C$14:$F$21,4,FALSE)))&gt;0,VRAGENLIJST!$D$19,0)),0))</f>
        <v>0</v>
      </c>
      <c r="T39" s="318">
        <f>IF(OR(VRAGENLIJST!$D$4=dropdowns!$B$6,VRAGENLIJST!$D$4=dropdowns!$C$6),0,IF(AND(OR(VRAGENLIJST!$D$4=dropdowns!$B$4,VRAGENLIJST!$D$4=dropdowns!$C$4),Liquiditeit!T3&lt;=IF(VRAGENLIJST!$D$21="",0,IFERROR(VLOOKUP(VRAGENLIJST!$D$21,dropdowns!$B$14:$F$21,5,FALSE),VLOOKUP(VRAGENLIJST!$D$21,dropdowns!$C$14:$F$21,4,FALSE)))),0,IF(AND(OR(VRAGENLIJST!$D$4=dropdowns!$B$4,VRAGENLIJST!$D$4=dropdowns!$C$4),Liquiditeit!T3&gt;IF(VRAGENLIJST!$D$21="",0,IFERROR(VLOOKUP(VRAGENLIJST!$D$21,dropdowns!$B$14:$F$21,5,FALSE),VLOOKUP(VRAGENLIJST!$D$21,dropdowns!$C$14:$F$21,4,FALSE)))),0,IF(AND(OR(VRAGENLIJST!$D$4=dropdowns!$B$5,VRAGENLIJST!$D$4=dropdowns!$C$5),Liquiditeit!T3&lt;=IF(VRAGENLIJST!$D$21="",0,IFERROR(VLOOKUP(VRAGENLIJST!$D$21,dropdowns!$B$14:$F$21,5,FALSE),VLOOKUP(VRAGENLIJST!$D$21,dropdowns!$C$14:$F$21,4,FALSE)))),0,IF(AND(OR(VRAGENLIJST!$D$4=dropdowns!$B$5,VRAGENLIJST!$D$4=dropdowns!$C$5),Liquiditeit!T3&gt;IF(VRAGENLIJST!$D$21="",0,IFERROR(VLOOKUP(VRAGENLIJST!$D$21,dropdowns!$B$14:$F$21,5,FALSE),VLOOKUP(VRAGENLIJST!$D$21,dropdowns!$C$14:$F$21,4,FALSE)))),0,0)))))+IF(AND(OR(VRAGENLIJST!$D$4=dropdowns!$B$5,VRAGENLIJST!$D$4=dropdowns!$C$5),Liquiditeit!T3&lt;=IF(VRAGENLIJST!$D$21="",0,IFERROR(VLOOKUP(VRAGENLIJST!$D$21,dropdowns!$B$14:$F$21,5,FALSE),VLOOKUP(VRAGENLIJST!$D$21,dropdowns!$C$14:$F$21,4,FALSE)))),VRAGENLIJST!$D$66,IF(AND(OR(VRAGENLIJST!$D$4=dropdowns!$B$5,VRAGENLIJST!$D$4=dropdowns!$C$5),Liquiditeit!T3&gt;IF(VRAGENLIJST!$D$21="",0,IFERROR(VLOOKUP(VRAGENLIJST!$D$21,dropdowns!$B$14:$F$21,5,FALSE),VLOOKUP(VRAGENLIJST!$D$21,dropdowns!$C$14:$F$21,4,FALSE)))),IF(SUM(VRAGENLIJST!$D$39:$D$61)-VRAGENLIJST!$D$34+IF(IF(VRAGENLIJST!$D$21="",0,IFERROR(VLOOKUP(VRAGENLIJST!$D$21,dropdowns!$B$14:$F$21,5,FALSE),VLOOKUP(VRAGENLIJST!$D$21,dropdowns!$C$14:$F$21,4,FALSE)))&gt;0,VRAGENLIJST!$D$19,0)&lt;0,0,SUM(VRAGENLIJST!$D$39:$D$61)-VRAGENLIJST!$D$34+IF(IF(VRAGENLIJST!$D$21="",0,IFERROR(VLOOKUP(VRAGENLIJST!$D$21,dropdowns!$B$14:$F$21,5,FALSE),VLOOKUP(VRAGENLIJST!$D$21,dropdowns!$C$14:$F$21,4,FALSE)))&gt;0,VRAGENLIJST!$D$19,0)),0))</f>
        <v>0</v>
      </c>
      <c r="U39" s="318">
        <f>IF(OR(VRAGENLIJST!$D$4=dropdowns!$B$6,VRAGENLIJST!$D$4=dropdowns!$C$6),0,IF(AND(OR(VRAGENLIJST!$D$4=dropdowns!$B$4,VRAGENLIJST!$D$4=dropdowns!$C$4),Liquiditeit!U3&lt;=IF(VRAGENLIJST!$D$21="",0,IFERROR(VLOOKUP(VRAGENLIJST!$D$21,dropdowns!$B$14:$F$21,5,FALSE),VLOOKUP(VRAGENLIJST!$D$21,dropdowns!$C$14:$F$21,4,FALSE)))),0,IF(AND(OR(VRAGENLIJST!$D$4=dropdowns!$B$4,VRAGENLIJST!$D$4=dropdowns!$C$4),Liquiditeit!U3&gt;IF(VRAGENLIJST!$D$21="",0,IFERROR(VLOOKUP(VRAGENLIJST!$D$21,dropdowns!$B$14:$F$21,5,FALSE),VLOOKUP(VRAGENLIJST!$D$21,dropdowns!$C$14:$F$21,4,FALSE)))),0,IF(AND(OR(VRAGENLIJST!$D$4=dropdowns!$B$5,VRAGENLIJST!$D$4=dropdowns!$C$5),Liquiditeit!U3&lt;=IF(VRAGENLIJST!$D$21="",0,IFERROR(VLOOKUP(VRAGENLIJST!$D$21,dropdowns!$B$14:$F$21,5,FALSE),VLOOKUP(VRAGENLIJST!$D$21,dropdowns!$C$14:$F$21,4,FALSE)))),0,IF(AND(OR(VRAGENLIJST!$D$4=dropdowns!$B$5,VRAGENLIJST!$D$4=dropdowns!$C$5),Liquiditeit!U3&gt;IF(VRAGENLIJST!$D$21="",0,IFERROR(VLOOKUP(VRAGENLIJST!$D$21,dropdowns!$B$14:$F$21,5,FALSE),VLOOKUP(VRAGENLIJST!$D$21,dropdowns!$C$14:$F$21,4,FALSE)))),0,0)))))+IF(AND(OR(VRAGENLIJST!$D$4=dropdowns!$B$5,VRAGENLIJST!$D$4=dropdowns!$C$5),Liquiditeit!U3&lt;=IF(VRAGENLIJST!$D$21="",0,IFERROR(VLOOKUP(VRAGENLIJST!$D$21,dropdowns!$B$14:$F$21,5,FALSE),VLOOKUP(VRAGENLIJST!$D$21,dropdowns!$C$14:$F$21,4,FALSE)))),VRAGENLIJST!$D$66,IF(AND(OR(VRAGENLIJST!$D$4=dropdowns!$B$5,VRAGENLIJST!$D$4=dropdowns!$C$5),Liquiditeit!U3&gt;IF(VRAGENLIJST!$D$21="",0,IFERROR(VLOOKUP(VRAGENLIJST!$D$21,dropdowns!$B$14:$F$21,5,FALSE),VLOOKUP(VRAGENLIJST!$D$21,dropdowns!$C$14:$F$21,4,FALSE)))),IF(SUM(VRAGENLIJST!$D$39:$D$61)-VRAGENLIJST!$D$34+IF(IF(VRAGENLIJST!$D$21="",0,IFERROR(VLOOKUP(VRAGENLIJST!$D$21,dropdowns!$B$14:$F$21,5,FALSE),VLOOKUP(VRAGENLIJST!$D$21,dropdowns!$C$14:$F$21,4,FALSE)))&gt;0,VRAGENLIJST!$D$19,0)&lt;0,0,SUM(VRAGENLIJST!$D$39:$D$61)-VRAGENLIJST!$D$34+IF(IF(VRAGENLIJST!$D$21="",0,IFERROR(VLOOKUP(VRAGENLIJST!$D$21,dropdowns!$B$14:$F$21,5,FALSE),VLOOKUP(VRAGENLIJST!$D$21,dropdowns!$C$14:$F$21,4,FALSE)))&gt;0,VRAGENLIJST!$D$19,0)),0))</f>
        <v>0</v>
      </c>
      <c r="V39" s="318">
        <f>IF(OR(VRAGENLIJST!$D$4=dropdowns!$B$6,VRAGENLIJST!$D$4=dropdowns!$C$6),0,IF(AND(OR(VRAGENLIJST!$D$4=dropdowns!$B$4,VRAGENLIJST!$D$4=dropdowns!$C$4),Liquiditeit!V3&lt;=IF(VRAGENLIJST!$D$21="",0,IFERROR(VLOOKUP(VRAGENLIJST!$D$21,dropdowns!$B$14:$F$21,5,FALSE),VLOOKUP(VRAGENLIJST!$D$21,dropdowns!$C$14:$F$21,4,FALSE)))),0,IF(AND(OR(VRAGENLIJST!$D$4=dropdowns!$B$4,VRAGENLIJST!$D$4=dropdowns!$C$4),Liquiditeit!V3&gt;IF(VRAGENLIJST!$D$21="",0,IFERROR(VLOOKUP(VRAGENLIJST!$D$21,dropdowns!$B$14:$F$21,5,FALSE),VLOOKUP(VRAGENLIJST!$D$21,dropdowns!$C$14:$F$21,4,FALSE)))),0,IF(AND(OR(VRAGENLIJST!$D$4=dropdowns!$B$5,VRAGENLIJST!$D$4=dropdowns!$C$5),Liquiditeit!V3&lt;=IF(VRAGENLIJST!$D$21="",0,IFERROR(VLOOKUP(VRAGENLIJST!$D$21,dropdowns!$B$14:$F$21,5,FALSE),VLOOKUP(VRAGENLIJST!$D$21,dropdowns!$C$14:$F$21,4,FALSE)))),0,IF(AND(OR(VRAGENLIJST!$D$4=dropdowns!$B$5,VRAGENLIJST!$D$4=dropdowns!$C$5),Liquiditeit!V3&gt;IF(VRAGENLIJST!$D$21="",0,IFERROR(VLOOKUP(VRAGENLIJST!$D$21,dropdowns!$B$14:$F$21,5,FALSE),VLOOKUP(VRAGENLIJST!$D$21,dropdowns!$C$14:$F$21,4,FALSE)))),0,0)))))+IF(AND(OR(VRAGENLIJST!$D$4=dropdowns!$B$5,VRAGENLIJST!$D$4=dropdowns!$C$5),Liquiditeit!V3&lt;=IF(VRAGENLIJST!$D$21="",0,IFERROR(VLOOKUP(VRAGENLIJST!$D$21,dropdowns!$B$14:$F$21,5,FALSE),VLOOKUP(VRAGENLIJST!$D$21,dropdowns!$C$14:$F$21,4,FALSE)))),VRAGENLIJST!$D$66,IF(AND(OR(VRAGENLIJST!$D$4=dropdowns!$B$5,VRAGENLIJST!$D$4=dropdowns!$C$5),Liquiditeit!V3&gt;IF(VRAGENLIJST!$D$21="",0,IFERROR(VLOOKUP(VRAGENLIJST!$D$21,dropdowns!$B$14:$F$21,5,FALSE),VLOOKUP(VRAGENLIJST!$D$21,dropdowns!$C$14:$F$21,4,FALSE)))),IF(SUM(VRAGENLIJST!$D$39:$D$61)-VRAGENLIJST!$D$34+IF(IF(VRAGENLIJST!$D$21="",0,IFERROR(VLOOKUP(VRAGENLIJST!$D$21,dropdowns!$B$14:$F$21,5,FALSE),VLOOKUP(VRAGENLIJST!$D$21,dropdowns!$C$14:$F$21,4,FALSE)))&gt;0,VRAGENLIJST!$D$19,0)&lt;0,0,SUM(VRAGENLIJST!$D$39:$D$61)-VRAGENLIJST!$D$34+IF(IF(VRAGENLIJST!$D$21="",0,IFERROR(VLOOKUP(VRAGENLIJST!$D$21,dropdowns!$B$14:$F$21,5,FALSE),VLOOKUP(VRAGENLIJST!$D$21,dropdowns!$C$14:$F$21,4,FALSE)))&gt;0,VRAGENLIJST!$D$19,0)),0))</f>
        <v>0</v>
      </c>
      <c r="W39" s="318">
        <f>IF(OR(VRAGENLIJST!$D$4=dropdowns!$B$6,VRAGENLIJST!$D$4=dropdowns!$C$6),0,IF(AND(OR(VRAGENLIJST!$D$4=dropdowns!$B$4,VRAGENLIJST!$D$4=dropdowns!$C$4),Liquiditeit!W3&lt;=IF(VRAGENLIJST!$D$21="",0,IFERROR(VLOOKUP(VRAGENLIJST!$D$21,dropdowns!$B$14:$F$21,5,FALSE),VLOOKUP(VRAGENLIJST!$D$21,dropdowns!$C$14:$F$21,4,FALSE)))),0,IF(AND(OR(VRAGENLIJST!$D$4=dropdowns!$B$4,VRAGENLIJST!$D$4=dropdowns!$C$4),Liquiditeit!W3&gt;IF(VRAGENLIJST!$D$21="",0,IFERROR(VLOOKUP(VRAGENLIJST!$D$21,dropdowns!$B$14:$F$21,5,FALSE),VLOOKUP(VRAGENLIJST!$D$21,dropdowns!$C$14:$F$21,4,FALSE)))),0,IF(AND(OR(VRAGENLIJST!$D$4=dropdowns!$B$5,VRAGENLIJST!$D$4=dropdowns!$C$5),Liquiditeit!W3&lt;=IF(VRAGENLIJST!$D$21="",0,IFERROR(VLOOKUP(VRAGENLIJST!$D$21,dropdowns!$B$14:$F$21,5,FALSE),VLOOKUP(VRAGENLIJST!$D$21,dropdowns!$C$14:$F$21,4,FALSE)))),0,IF(AND(OR(VRAGENLIJST!$D$4=dropdowns!$B$5,VRAGENLIJST!$D$4=dropdowns!$C$5),Liquiditeit!W3&gt;IF(VRAGENLIJST!$D$21="",0,IFERROR(VLOOKUP(VRAGENLIJST!$D$21,dropdowns!$B$14:$F$21,5,FALSE),VLOOKUP(VRAGENLIJST!$D$21,dropdowns!$C$14:$F$21,4,FALSE)))),0,0)))))+IF(AND(OR(VRAGENLIJST!$D$4=dropdowns!$B$5,VRAGENLIJST!$D$4=dropdowns!$C$5),Liquiditeit!W3&lt;=IF(VRAGENLIJST!$D$21="",0,IFERROR(VLOOKUP(VRAGENLIJST!$D$21,dropdowns!$B$14:$F$21,5,FALSE),VLOOKUP(VRAGENLIJST!$D$21,dropdowns!$C$14:$F$21,4,FALSE)))),VRAGENLIJST!$D$66,IF(AND(OR(VRAGENLIJST!$D$4=dropdowns!$B$5,VRAGENLIJST!$D$4=dropdowns!$C$5),Liquiditeit!W3&gt;IF(VRAGENLIJST!$D$21="",0,IFERROR(VLOOKUP(VRAGENLIJST!$D$21,dropdowns!$B$14:$F$21,5,FALSE),VLOOKUP(VRAGENLIJST!$D$21,dropdowns!$C$14:$F$21,4,FALSE)))),IF(SUM(VRAGENLIJST!$D$39:$D$61)-VRAGENLIJST!$D$34+IF(IF(VRAGENLIJST!$D$21="",0,IFERROR(VLOOKUP(VRAGENLIJST!$D$21,dropdowns!$B$14:$F$21,5,FALSE),VLOOKUP(VRAGENLIJST!$D$21,dropdowns!$C$14:$F$21,4,FALSE)))&gt;0,VRAGENLIJST!$D$19,0)&lt;0,0,SUM(VRAGENLIJST!$D$39:$D$61)-VRAGENLIJST!$D$34+IF(IF(VRAGENLIJST!$D$21="",0,IFERROR(VLOOKUP(VRAGENLIJST!$D$21,dropdowns!$B$14:$F$21,5,FALSE),VLOOKUP(VRAGENLIJST!$D$21,dropdowns!$C$14:$F$21,4,FALSE)))&gt;0,VRAGENLIJST!$D$19,0)),0))</f>
        <v>0</v>
      </c>
      <c r="X39" s="318">
        <f>IF(OR(VRAGENLIJST!$D$4=dropdowns!$B$6,VRAGENLIJST!$D$4=dropdowns!$C$6),0,IF(AND(OR(VRAGENLIJST!$D$4=dropdowns!$B$4,VRAGENLIJST!$D$4=dropdowns!$C$4),Liquiditeit!X3&lt;=IF(VRAGENLIJST!$D$21="",0,IFERROR(VLOOKUP(VRAGENLIJST!$D$21,dropdowns!$B$14:$F$21,5,FALSE),VLOOKUP(VRAGENLIJST!$D$21,dropdowns!$C$14:$F$21,4,FALSE)))),0,IF(AND(OR(VRAGENLIJST!$D$4=dropdowns!$B$4,VRAGENLIJST!$D$4=dropdowns!$C$4),Liquiditeit!X3&gt;IF(VRAGENLIJST!$D$21="",0,IFERROR(VLOOKUP(VRAGENLIJST!$D$21,dropdowns!$B$14:$F$21,5,FALSE),VLOOKUP(VRAGENLIJST!$D$21,dropdowns!$C$14:$F$21,4,FALSE)))),0,IF(AND(OR(VRAGENLIJST!$D$4=dropdowns!$B$5,VRAGENLIJST!$D$4=dropdowns!$C$5),Liquiditeit!X3&lt;=IF(VRAGENLIJST!$D$21="",0,IFERROR(VLOOKUP(VRAGENLIJST!$D$21,dropdowns!$B$14:$F$21,5,FALSE),VLOOKUP(VRAGENLIJST!$D$21,dropdowns!$C$14:$F$21,4,FALSE)))),0,IF(AND(OR(VRAGENLIJST!$D$4=dropdowns!$B$5,VRAGENLIJST!$D$4=dropdowns!$C$5),Liquiditeit!X3&gt;IF(VRAGENLIJST!$D$21="",0,IFERROR(VLOOKUP(VRAGENLIJST!$D$21,dropdowns!$B$14:$F$21,5,FALSE),VLOOKUP(VRAGENLIJST!$D$21,dropdowns!$C$14:$F$21,4,FALSE)))),0,0)))))+IF(AND(OR(VRAGENLIJST!$D$4=dropdowns!$B$5,VRAGENLIJST!$D$4=dropdowns!$C$5),Liquiditeit!X3&lt;=IF(VRAGENLIJST!$D$21="",0,IFERROR(VLOOKUP(VRAGENLIJST!$D$21,dropdowns!$B$14:$F$21,5,FALSE),VLOOKUP(VRAGENLIJST!$D$21,dropdowns!$C$14:$F$21,4,FALSE)))),VRAGENLIJST!$D$66,IF(AND(OR(VRAGENLIJST!$D$4=dropdowns!$B$5,VRAGENLIJST!$D$4=dropdowns!$C$5),Liquiditeit!X3&gt;IF(VRAGENLIJST!$D$21="",0,IFERROR(VLOOKUP(VRAGENLIJST!$D$21,dropdowns!$B$14:$F$21,5,FALSE),VLOOKUP(VRAGENLIJST!$D$21,dropdowns!$C$14:$F$21,4,FALSE)))),IF(SUM(VRAGENLIJST!$D$39:$D$61)-VRAGENLIJST!$D$34+IF(IF(VRAGENLIJST!$D$21="",0,IFERROR(VLOOKUP(VRAGENLIJST!$D$21,dropdowns!$B$14:$F$21,5,FALSE),VLOOKUP(VRAGENLIJST!$D$21,dropdowns!$C$14:$F$21,4,FALSE)))&gt;0,VRAGENLIJST!$D$19,0)&lt;0,0,SUM(VRAGENLIJST!$D$39:$D$61)-VRAGENLIJST!$D$34+IF(IF(VRAGENLIJST!$D$21="",0,IFERROR(VLOOKUP(VRAGENLIJST!$D$21,dropdowns!$B$14:$F$21,5,FALSE),VLOOKUP(VRAGENLIJST!$D$21,dropdowns!$C$14:$F$21,4,FALSE)))&gt;0,VRAGENLIJST!$D$19,0)),0))</f>
        <v>0</v>
      </c>
      <c r="Y39" s="318">
        <f>IF(OR(VRAGENLIJST!$D$4=dropdowns!$B$6,VRAGENLIJST!$D$4=dropdowns!$C$6),0,IF(AND(OR(VRAGENLIJST!$D$4=dropdowns!$B$4,VRAGENLIJST!$D$4=dropdowns!$C$4),Liquiditeit!Y3&lt;=IF(VRAGENLIJST!$D$21="",0,IFERROR(VLOOKUP(VRAGENLIJST!$D$21,dropdowns!$B$14:$F$21,5,FALSE),VLOOKUP(VRAGENLIJST!$D$21,dropdowns!$C$14:$F$21,4,FALSE)))),0,IF(AND(OR(VRAGENLIJST!$D$4=dropdowns!$B$4,VRAGENLIJST!$D$4=dropdowns!$C$4),Liquiditeit!Y3&gt;IF(VRAGENLIJST!$D$21="",0,IFERROR(VLOOKUP(VRAGENLIJST!$D$21,dropdowns!$B$14:$F$21,5,FALSE),VLOOKUP(VRAGENLIJST!$D$21,dropdowns!$C$14:$F$21,4,FALSE)))),0,IF(AND(OR(VRAGENLIJST!$D$4=dropdowns!$B$5,VRAGENLIJST!$D$4=dropdowns!$C$5),Liquiditeit!Y3&lt;=IF(VRAGENLIJST!$D$21="",0,IFERROR(VLOOKUP(VRAGENLIJST!$D$21,dropdowns!$B$14:$F$21,5,FALSE),VLOOKUP(VRAGENLIJST!$D$21,dropdowns!$C$14:$F$21,4,FALSE)))),0,IF(AND(OR(VRAGENLIJST!$D$4=dropdowns!$B$5,VRAGENLIJST!$D$4=dropdowns!$C$5),Liquiditeit!Y3&gt;IF(VRAGENLIJST!$D$21="",0,IFERROR(VLOOKUP(VRAGENLIJST!$D$21,dropdowns!$B$14:$F$21,5,FALSE),VLOOKUP(VRAGENLIJST!$D$21,dropdowns!$C$14:$F$21,4,FALSE)))),0,0)))))+IF(AND(OR(VRAGENLIJST!$D$4=dropdowns!$B$5,VRAGENLIJST!$D$4=dropdowns!$C$5),Liquiditeit!Y3&lt;=IF(VRAGENLIJST!$D$21="",0,IFERROR(VLOOKUP(VRAGENLIJST!$D$21,dropdowns!$B$14:$F$21,5,FALSE),VLOOKUP(VRAGENLIJST!$D$21,dropdowns!$C$14:$F$21,4,FALSE)))),VRAGENLIJST!$D$66,IF(AND(OR(VRAGENLIJST!$D$4=dropdowns!$B$5,VRAGENLIJST!$D$4=dropdowns!$C$5),Liquiditeit!Y3&gt;IF(VRAGENLIJST!$D$21="",0,IFERROR(VLOOKUP(VRAGENLIJST!$D$21,dropdowns!$B$14:$F$21,5,FALSE),VLOOKUP(VRAGENLIJST!$D$21,dropdowns!$C$14:$F$21,4,FALSE)))),IF(SUM(VRAGENLIJST!$D$39:$D$61)-VRAGENLIJST!$D$34+IF(IF(VRAGENLIJST!$D$21="",0,IFERROR(VLOOKUP(VRAGENLIJST!$D$21,dropdowns!$B$14:$F$21,5,FALSE),VLOOKUP(VRAGENLIJST!$D$21,dropdowns!$C$14:$F$21,4,FALSE)))&gt;0,VRAGENLIJST!$D$19,0)&lt;0,0,SUM(VRAGENLIJST!$D$39:$D$61)-VRAGENLIJST!$D$34+IF(IF(VRAGENLIJST!$D$21="",0,IFERROR(VLOOKUP(VRAGENLIJST!$D$21,dropdowns!$B$14:$F$21,5,FALSE),VLOOKUP(VRAGENLIJST!$D$21,dropdowns!$C$14:$F$21,4,FALSE)))&gt;0,VRAGENLIJST!$D$19,0)),0))</f>
        <v>0</v>
      </c>
      <c r="Z39" s="318">
        <f>IF(OR(VRAGENLIJST!$D$4=dropdowns!$B$6,VRAGENLIJST!$D$4=dropdowns!$C$6),0,IF(AND(OR(VRAGENLIJST!$D$4=dropdowns!$B$4,VRAGENLIJST!$D$4=dropdowns!$C$4),Liquiditeit!Z3&lt;=IF(VRAGENLIJST!$D$21="",0,IFERROR(VLOOKUP(VRAGENLIJST!$D$21,dropdowns!$B$14:$F$21,5,FALSE),VLOOKUP(VRAGENLIJST!$D$21,dropdowns!$C$14:$F$21,4,FALSE)))),0,IF(AND(OR(VRAGENLIJST!$D$4=dropdowns!$B$4,VRAGENLIJST!$D$4=dropdowns!$C$4),Liquiditeit!Z3&gt;IF(VRAGENLIJST!$D$21="",0,IFERROR(VLOOKUP(VRAGENLIJST!$D$21,dropdowns!$B$14:$F$21,5,FALSE),VLOOKUP(VRAGENLIJST!$D$21,dropdowns!$C$14:$F$21,4,FALSE)))),0,IF(AND(OR(VRAGENLIJST!$D$4=dropdowns!$B$5,VRAGENLIJST!$D$4=dropdowns!$C$5),Liquiditeit!Z3&lt;=IF(VRAGENLIJST!$D$21="",0,IFERROR(VLOOKUP(VRAGENLIJST!$D$21,dropdowns!$B$14:$F$21,5,FALSE),VLOOKUP(VRAGENLIJST!$D$21,dropdowns!$C$14:$F$21,4,FALSE)))),0,IF(AND(OR(VRAGENLIJST!$D$4=dropdowns!$B$5,VRAGENLIJST!$D$4=dropdowns!$C$5),Liquiditeit!Z3&gt;IF(VRAGENLIJST!$D$21="",0,IFERROR(VLOOKUP(VRAGENLIJST!$D$21,dropdowns!$B$14:$F$21,5,FALSE),VLOOKUP(VRAGENLIJST!$D$21,dropdowns!$C$14:$F$21,4,FALSE)))),0,0)))))+IF(AND(OR(VRAGENLIJST!$D$4=dropdowns!$B$5,VRAGENLIJST!$D$4=dropdowns!$C$5),Liquiditeit!Z3&lt;=IF(VRAGENLIJST!$D$21="",0,IFERROR(VLOOKUP(VRAGENLIJST!$D$21,dropdowns!$B$14:$F$21,5,FALSE),VLOOKUP(VRAGENLIJST!$D$21,dropdowns!$C$14:$F$21,4,FALSE)))),VRAGENLIJST!$D$66,IF(AND(OR(VRAGENLIJST!$D$4=dropdowns!$B$5,VRAGENLIJST!$D$4=dropdowns!$C$5),Liquiditeit!Z3&gt;IF(VRAGENLIJST!$D$21="",0,IFERROR(VLOOKUP(VRAGENLIJST!$D$21,dropdowns!$B$14:$F$21,5,FALSE),VLOOKUP(VRAGENLIJST!$D$21,dropdowns!$C$14:$F$21,4,FALSE)))),IF(SUM(VRAGENLIJST!$D$39:$D$61)-VRAGENLIJST!$D$34+IF(IF(VRAGENLIJST!$D$21="",0,IFERROR(VLOOKUP(VRAGENLIJST!$D$21,dropdowns!$B$14:$F$21,5,FALSE),VLOOKUP(VRAGENLIJST!$D$21,dropdowns!$C$14:$F$21,4,FALSE)))&gt;0,VRAGENLIJST!$D$19,0)&lt;0,0,SUM(VRAGENLIJST!$D$39:$D$61)-VRAGENLIJST!$D$34+IF(IF(VRAGENLIJST!$D$21="",0,IFERROR(VLOOKUP(VRAGENLIJST!$D$21,dropdowns!$B$14:$F$21,5,FALSE),VLOOKUP(VRAGENLIJST!$D$21,dropdowns!$C$14:$F$21,4,FALSE)))&gt;0,VRAGENLIJST!$D$19,0)),0))</f>
        <v>0</v>
      </c>
      <c r="AA39" s="318">
        <f>IF(OR(VRAGENLIJST!$D$4=dropdowns!$B$6,VRAGENLIJST!$D$4=dropdowns!$C$6),0,IF(AND(OR(VRAGENLIJST!$D$4=dropdowns!$B$4,VRAGENLIJST!$D$4=dropdowns!$C$4),Liquiditeit!AA3&lt;=IF(VRAGENLIJST!$D$21="",0,IFERROR(VLOOKUP(VRAGENLIJST!$D$21,dropdowns!$B$14:$F$21,5,FALSE),VLOOKUP(VRAGENLIJST!$D$21,dropdowns!$C$14:$F$21,4,FALSE)))),0,IF(AND(OR(VRAGENLIJST!$D$4=dropdowns!$B$4,VRAGENLIJST!$D$4=dropdowns!$C$4),Liquiditeit!AA3&gt;IF(VRAGENLIJST!$D$21="",0,IFERROR(VLOOKUP(VRAGENLIJST!$D$21,dropdowns!$B$14:$F$21,5,FALSE),VLOOKUP(VRAGENLIJST!$D$21,dropdowns!$C$14:$F$21,4,FALSE)))),0,IF(AND(OR(VRAGENLIJST!$D$4=dropdowns!$B$5,VRAGENLIJST!$D$4=dropdowns!$C$5),Liquiditeit!AA3&lt;=IF(VRAGENLIJST!$D$21="",0,IFERROR(VLOOKUP(VRAGENLIJST!$D$21,dropdowns!$B$14:$F$21,5,FALSE),VLOOKUP(VRAGENLIJST!$D$21,dropdowns!$C$14:$F$21,4,FALSE)))),0,IF(AND(OR(VRAGENLIJST!$D$4=dropdowns!$B$5,VRAGENLIJST!$D$4=dropdowns!$C$5),Liquiditeit!AA3&gt;IF(VRAGENLIJST!$D$21="",0,IFERROR(VLOOKUP(VRAGENLIJST!$D$21,dropdowns!$B$14:$F$21,5,FALSE),VLOOKUP(VRAGENLIJST!$D$21,dropdowns!$C$14:$F$21,4,FALSE)))),0,0)))))+IF(AND(OR(VRAGENLIJST!$D$4=dropdowns!$B$5,VRAGENLIJST!$D$4=dropdowns!$C$5),Liquiditeit!AA3&lt;=IF(VRAGENLIJST!$D$21="",0,IFERROR(VLOOKUP(VRAGENLIJST!$D$21,dropdowns!$B$14:$F$21,5,FALSE),VLOOKUP(VRAGENLIJST!$D$21,dropdowns!$C$14:$F$21,4,FALSE)))),VRAGENLIJST!$D$66,IF(AND(OR(VRAGENLIJST!$D$4=dropdowns!$B$5,VRAGENLIJST!$D$4=dropdowns!$C$5),Liquiditeit!AA3&gt;IF(VRAGENLIJST!$D$21="",0,IFERROR(VLOOKUP(VRAGENLIJST!$D$21,dropdowns!$B$14:$F$21,5,FALSE),VLOOKUP(VRAGENLIJST!$D$21,dropdowns!$C$14:$F$21,4,FALSE)))),IF(SUM(VRAGENLIJST!$D$39:$D$61)-VRAGENLIJST!$D$34+IF(IF(VRAGENLIJST!$D$21="",0,IFERROR(VLOOKUP(VRAGENLIJST!$D$21,dropdowns!$B$14:$F$21,5,FALSE),VLOOKUP(VRAGENLIJST!$D$21,dropdowns!$C$14:$F$21,4,FALSE)))&gt;0,VRAGENLIJST!$D$19,0)&lt;0,0,SUM(VRAGENLIJST!$D$39:$D$61)-VRAGENLIJST!$D$34+IF(IF(VRAGENLIJST!$D$21="",0,IFERROR(VLOOKUP(VRAGENLIJST!$D$21,dropdowns!$B$14:$F$21,5,FALSE),VLOOKUP(VRAGENLIJST!$D$21,dropdowns!$C$14:$F$21,4,FALSE)))&gt;0,VRAGENLIJST!$D$19,0)),0))</f>
        <v>0</v>
      </c>
      <c r="AB39" s="318">
        <f>IF(OR(VRAGENLIJST!$D$4=dropdowns!$B$6,VRAGENLIJST!$D$4=dropdowns!$C$6),0,IF(AND(OR(VRAGENLIJST!$D$4=dropdowns!$B$4,VRAGENLIJST!$D$4=dropdowns!$C$4),Liquiditeit!AB3&lt;=IF(VRAGENLIJST!$D$21="",0,IFERROR(VLOOKUP(VRAGENLIJST!$D$21,dropdowns!$B$14:$F$21,5,FALSE),VLOOKUP(VRAGENLIJST!$D$21,dropdowns!$C$14:$F$21,4,FALSE)))),0,IF(AND(OR(VRAGENLIJST!$D$4=dropdowns!$B$4,VRAGENLIJST!$D$4=dropdowns!$C$4),Liquiditeit!AB3&gt;IF(VRAGENLIJST!$D$21="",0,IFERROR(VLOOKUP(VRAGENLIJST!$D$21,dropdowns!$B$14:$F$21,5,FALSE),VLOOKUP(VRAGENLIJST!$D$21,dropdowns!$C$14:$F$21,4,FALSE)))),0,IF(AND(OR(VRAGENLIJST!$D$4=dropdowns!$B$5,VRAGENLIJST!$D$4=dropdowns!$C$5),Liquiditeit!AB3&lt;=IF(VRAGENLIJST!$D$21="",0,IFERROR(VLOOKUP(VRAGENLIJST!$D$21,dropdowns!$B$14:$F$21,5,FALSE),VLOOKUP(VRAGENLIJST!$D$21,dropdowns!$C$14:$F$21,4,FALSE)))),0,IF(AND(OR(VRAGENLIJST!$D$4=dropdowns!$B$5,VRAGENLIJST!$D$4=dropdowns!$C$5),Liquiditeit!AB3&gt;IF(VRAGENLIJST!$D$21="",0,IFERROR(VLOOKUP(VRAGENLIJST!$D$21,dropdowns!$B$14:$F$21,5,FALSE),VLOOKUP(VRAGENLIJST!$D$21,dropdowns!$C$14:$F$21,4,FALSE)))),0,0)))))+IF(AND(OR(VRAGENLIJST!$D$4=dropdowns!$B$5,VRAGENLIJST!$D$4=dropdowns!$C$5),Liquiditeit!AB3&lt;=IF(VRAGENLIJST!$D$21="",0,IFERROR(VLOOKUP(VRAGENLIJST!$D$21,dropdowns!$B$14:$F$21,5,FALSE),VLOOKUP(VRAGENLIJST!$D$21,dropdowns!$C$14:$F$21,4,FALSE)))),VRAGENLIJST!$D$66,IF(AND(OR(VRAGENLIJST!$D$4=dropdowns!$B$5,VRAGENLIJST!$D$4=dropdowns!$C$5),Liquiditeit!AB3&gt;IF(VRAGENLIJST!$D$21="",0,IFERROR(VLOOKUP(VRAGENLIJST!$D$21,dropdowns!$B$14:$F$21,5,FALSE),VLOOKUP(VRAGENLIJST!$D$21,dropdowns!$C$14:$F$21,4,FALSE)))),IF(SUM(VRAGENLIJST!$D$39:$D$61)-VRAGENLIJST!$D$34+IF(IF(VRAGENLIJST!$D$21="",0,IFERROR(VLOOKUP(VRAGENLIJST!$D$21,dropdowns!$B$14:$F$21,5,FALSE),VLOOKUP(VRAGENLIJST!$D$21,dropdowns!$C$14:$F$21,4,FALSE)))&gt;0,VRAGENLIJST!$D$19,0)&lt;0,0,SUM(VRAGENLIJST!$D$39:$D$61)-VRAGENLIJST!$D$34+IF(IF(VRAGENLIJST!$D$21="",0,IFERROR(VLOOKUP(VRAGENLIJST!$D$21,dropdowns!$B$14:$F$21,5,FALSE),VLOOKUP(VRAGENLIJST!$D$21,dropdowns!$C$14:$F$21,4,FALSE)))&gt;0,VRAGENLIJST!$D$19,0)),0))</f>
        <v>0</v>
      </c>
      <c r="AC39" s="320">
        <f>SUM(Q39:AB39)</f>
        <v>0</v>
      </c>
      <c r="AD39" s="318">
        <f>IF(OR(VRAGENLIJST!$D$4=dropdowns!$B$6,VRAGENLIJST!$D$4=dropdowns!$C$6),0,IF(AND(OR(VRAGENLIJST!$D$4=dropdowns!$B$4,VRAGENLIJST!$D$4=dropdowns!$C$4),Liquiditeit!AD3&lt;=IF(VRAGENLIJST!$D$21="",0,IFERROR(VLOOKUP(VRAGENLIJST!$D$21,dropdowns!$B$14:$F$21,5,FALSE),VLOOKUP(VRAGENLIJST!$D$21,dropdowns!$C$14:$F$21,4,FALSE)))),0,IF(AND(OR(VRAGENLIJST!$D$4=dropdowns!$B$4,VRAGENLIJST!$D$4=dropdowns!$C$4),Liquiditeit!AD3&gt;IF(VRAGENLIJST!$D$21="",0,IFERROR(VLOOKUP(VRAGENLIJST!$D$21,dropdowns!$B$14:$F$21,5,FALSE),VLOOKUP(VRAGENLIJST!$D$21,dropdowns!$C$14:$F$21,4,FALSE)))),0,IF(AND(OR(VRAGENLIJST!$D$4=dropdowns!$B$5,VRAGENLIJST!$D$4=dropdowns!$C$5),Liquiditeit!AD3&lt;=IF(VRAGENLIJST!$D$21="",0,IFERROR(VLOOKUP(VRAGENLIJST!$D$21,dropdowns!$B$14:$F$21,5,FALSE),VLOOKUP(VRAGENLIJST!$D$21,dropdowns!$C$14:$F$21,4,FALSE)))),0,IF(AND(OR(VRAGENLIJST!$D$4=dropdowns!$B$5,VRAGENLIJST!$D$4=dropdowns!$C$5),Liquiditeit!AD3&gt;IF(VRAGENLIJST!$D$21="",0,IFERROR(VLOOKUP(VRAGENLIJST!$D$21,dropdowns!$B$14:$F$21,5,FALSE),VLOOKUP(VRAGENLIJST!$D$21,dropdowns!$C$14:$F$21,4,FALSE)))),0,0)))))+IF(AND(OR(VRAGENLIJST!$D$4=dropdowns!$B$5,VRAGENLIJST!$D$4=dropdowns!$C$5),Liquiditeit!AD3&lt;=IF(VRAGENLIJST!$D$21="",0,IFERROR(VLOOKUP(VRAGENLIJST!$D$21,dropdowns!$B$14:$F$21,5,FALSE),VLOOKUP(VRAGENLIJST!$D$21,dropdowns!$C$14:$F$21,4,FALSE)))),VRAGENLIJST!$D$66,IF(AND(OR(VRAGENLIJST!$D$4=dropdowns!$B$5,VRAGENLIJST!$D$4=dropdowns!$C$5),Liquiditeit!AD3&gt;IF(VRAGENLIJST!$D$21="",0,IFERROR(VLOOKUP(VRAGENLIJST!$D$21,dropdowns!$B$14:$F$21,5,FALSE),VLOOKUP(VRAGENLIJST!$D$21,dropdowns!$C$14:$F$21,4,FALSE)))),IF(SUM(VRAGENLIJST!$D$39:$D$61)-VRAGENLIJST!$D$34+IF(IF(VRAGENLIJST!$D$21="",0,IFERROR(VLOOKUP(VRAGENLIJST!$D$21,dropdowns!$B$14:$F$21,5,FALSE),VLOOKUP(VRAGENLIJST!$D$21,dropdowns!$C$14:$F$21,4,FALSE)))&gt;0,VRAGENLIJST!$D$19,0)&lt;0,0,SUM(VRAGENLIJST!$D$39:$D$61)-VRAGENLIJST!$D$34+IF(IF(VRAGENLIJST!$D$21="",0,IFERROR(VLOOKUP(VRAGENLIJST!$D$21,dropdowns!$B$14:$F$21,5,FALSE),VLOOKUP(VRAGENLIJST!$D$21,dropdowns!$C$14:$F$21,4,FALSE)))&gt;0,VRAGENLIJST!$D$19,0)),0))</f>
        <v>0</v>
      </c>
      <c r="AE39" s="318">
        <f>IF(OR(VRAGENLIJST!$D$4=dropdowns!$B$6,VRAGENLIJST!$D$4=dropdowns!$C$6),0,IF(AND(OR(VRAGENLIJST!$D$4=dropdowns!$B$4,VRAGENLIJST!$D$4=dropdowns!$C$4),Liquiditeit!AE3&lt;=IF(VRAGENLIJST!$D$21="",0,IFERROR(VLOOKUP(VRAGENLIJST!$D$21,dropdowns!$B$14:$F$21,5,FALSE),VLOOKUP(VRAGENLIJST!$D$21,dropdowns!$C$14:$F$21,4,FALSE)))),0,IF(AND(OR(VRAGENLIJST!$D$4=dropdowns!$B$4,VRAGENLIJST!$D$4=dropdowns!$C$4),Liquiditeit!AE3&gt;IF(VRAGENLIJST!$D$21="",0,IFERROR(VLOOKUP(VRAGENLIJST!$D$21,dropdowns!$B$14:$F$21,5,FALSE),VLOOKUP(VRAGENLIJST!$D$21,dropdowns!$C$14:$F$21,4,FALSE)))),0,IF(AND(OR(VRAGENLIJST!$D$4=dropdowns!$B$5,VRAGENLIJST!$D$4=dropdowns!$C$5),Liquiditeit!AE3&lt;=IF(VRAGENLIJST!$D$21="",0,IFERROR(VLOOKUP(VRAGENLIJST!$D$21,dropdowns!$B$14:$F$21,5,FALSE),VLOOKUP(VRAGENLIJST!$D$21,dropdowns!$C$14:$F$21,4,FALSE)))),0,IF(AND(OR(VRAGENLIJST!$D$4=dropdowns!$B$5,VRAGENLIJST!$D$4=dropdowns!$C$5),Liquiditeit!AE3&gt;IF(VRAGENLIJST!$D$21="",0,IFERROR(VLOOKUP(VRAGENLIJST!$D$21,dropdowns!$B$14:$F$21,5,FALSE),VLOOKUP(VRAGENLIJST!$D$21,dropdowns!$C$14:$F$21,4,FALSE)))),0,0)))))+IF(AND(OR(VRAGENLIJST!$D$4=dropdowns!$B$5,VRAGENLIJST!$D$4=dropdowns!$C$5),Liquiditeit!AE3&lt;=IF(VRAGENLIJST!$D$21="",0,IFERROR(VLOOKUP(VRAGENLIJST!$D$21,dropdowns!$B$14:$F$21,5,FALSE),VLOOKUP(VRAGENLIJST!$D$21,dropdowns!$C$14:$F$21,4,FALSE)))),VRAGENLIJST!$D$66,IF(AND(OR(VRAGENLIJST!$D$4=dropdowns!$B$5,VRAGENLIJST!$D$4=dropdowns!$C$5),Liquiditeit!AE3&gt;IF(VRAGENLIJST!$D$21="",0,IFERROR(VLOOKUP(VRAGENLIJST!$D$21,dropdowns!$B$14:$F$21,5,FALSE),VLOOKUP(VRAGENLIJST!$D$21,dropdowns!$C$14:$F$21,4,FALSE)))),IF(SUM(VRAGENLIJST!$D$39:$D$61)-VRAGENLIJST!$D$34+IF(IF(VRAGENLIJST!$D$21="",0,IFERROR(VLOOKUP(VRAGENLIJST!$D$21,dropdowns!$B$14:$F$21,5,FALSE),VLOOKUP(VRAGENLIJST!$D$21,dropdowns!$C$14:$F$21,4,FALSE)))&gt;0,VRAGENLIJST!$D$19,0)&lt;0,0,SUM(VRAGENLIJST!$D$39:$D$61)-VRAGENLIJST!$D$34+IF(IF(VRAGENLIJST!$D$21="",0,IFERROR(VLOOKUP(VRAGENLIJST!$D$21,dropdowns!$B$14:$F$21,5,FALSE),VLOOKUP(VRAGENLIJST!$D$21,dropdowns!$C$14:$F$21,4,FALSE)))&gt;0,VRAGENLIJST!$D$19,0)),0))</f>
        <v>0</v>
      </c>
      <c r="AF39" s="318">
        <f>IF(OR(VRAGENLIJST!$D$4=dropdowns!$B$6,VRAGENLIJST!$D$4=dropdowns!$C$6),0,IF(AND(OR(VRAGENLIJST!$D$4=dropdowns!$B$4,VRAGENLIJST!$D$4=dropdowns!$C$4),Liquiditeit!AF3&lt;=IF(VRAGENLIJST!$D$21="",0,IFERROR(VLOOKUP(VRAGENLIJST!$D$21,dropdowns!$B$14:$F$21,5,FALSE),VLOOKUP(VRAGENLIJST!$D$21,dropdowns!$C$14:$F$21,4,FALSE)))),0,IF(AND(OR(VRAGENLIJST!$D$4=dropdowns!$B$4,VRAGENLIJST!$D$4=dropdowns!$C$4),Liquiditeit!AF3&gt;IF(VRAGENLIJST!$D$21="",0,IFERROR(VLOOKUP(VRAGENLIJST!$D$21,dropdowns!$B$14:$F$21,5,FALSE),VLOOKUP(VRAGENLIJST!$D$21,dropdowns!$C$14:$F$21,4,FALSE)))),0,IF(AND(OR(VRAGENLIJST!$D$4=dropdowns!$B$5,VRAGENLIJST!$D$4=dropdowns!$C$5),Liquiditeit!AF3&lt;=IF(VRAGENLIJST!$D$21="",0,IFERROR(VLOOKUP(VRAGENLIJST!$D$21,dropdowns!$B$14:$F$21,5,FALSE),VLOOKUP(VRAGENLIJST!$D$21,dropdowns!$C$14:$F$21,4,FALSE)))),0,IF(AND(OR(VRAGENLIJST!$D$4=dropdowns!$B$5,VRAGENLIJST!$D$4=dropdowns!$C$5),Liquiditeit!AF3&gt;IF(VRAGENLIJST!$D$21="",0,IFERROR(VLOOKUP(VRAGENLIJST!$D$21,dropdowns!$B$14:$F$21,5,FALSE),VLOOKUP(VRAGENLIJST!$D$21,dropdowns!$C$14:$F$21,4,FALSE)))),0,0)))))+IF(AND(OR(VRAGENLIJST!$D$4=dropdowns!$B$5,VRAGENLIJST!$D$4=dropdowns!$C$5),Liquiditeit!AF3&lt;=IF(VRAGENLIJST!$D$21="",0,IFERROR(VLOOKUP(VRAGENLIJST!$D$21,dropdowns!$B$14:$F$21,5,FALSE),VLOOKUP(VRAGENLIJST!$D$21,dropdowns!$C$14:$F$21,4,FALSE)))),VRAGENLIJST!$D$66,IF(AND(OR(VRAGENLIJST!$D$4=dropdowns!$B$5,VRAGENLIJST!$D$4=dropdowns!$C$5),Liquiditeit!AF3&gt;IF(VRAGENLIJST!$D$21="",0,IFERROR(VLOOKUP(VRAGENLIJST!$D$21,dropdowns!$B$14:$F$21,5,FALSE),VLOOKUP(VRAGENLIJST!$D$21,dropdowns!$C$14:$F$21,4,FALSE)))),IF(SUM(VRAGENLIJST!$D$39:$D$61)-VRAGENLIJST!$D$34+IF(IF(VRAGENLIJST!$D$21="",0,IFERROR(VLOOKUP(VRAGENLIJST!$D$21,dropdowns!$B$14:$F$21,5,FALSE),VLOOKUP(VRAGENLIJST!$D$21,dropdowns!$C$14:$F$21,4,FALSE)))&gt;0,VRAGENLIJST!$D$19,0)&lt;0,0,SUM(VRAGENLIJST!$D$39:$D$61)-VRAGENLIJST!$D$34+IF(IF(VRAGENLIJST!$D$21="",0,IFERROR(VLOOKUP(VRAGENLIJST!$D$21,dropdowns!$B$14:$F$21,5,FALSE),VLOOKUP(VRAGENLIJST!$D$21,dropdowns!$C$14:$F$21,4,FALSE)))&gt;0,VRAGENLIJST!$D$19,0)),0))</f>
        <v>0</v>
      </c>
      <c r="AG39" s="318">
        <f>IF(OR(VRAGENLIJST!$D$4=dropdowns!$B$6,VRAGENLIJST!$D$4=dropdowns!$C$6),0,IF(AND(OR(VRAGENLIJST!$D$4=dropdowns!$B$4,VRAGENLIJST!$D$4=dropdowns!$C$4),Liquiditeit!AG3&lt;=IF(VRAGENLIJST!$D$21="",0,IFERROR(VLOOKUP(VRAGENLIJST!$D$21,dropdowns!$B$14:$F$21,5,FALSE),VLOOKUP(VRAGENLIJST!$D$21,dropdowns!$C$14:$F$21,4,FALSE)))),0,IF(AND(OR(VRAGENLIJST!$D$4=dropdowns!$B$4,VRAGENLIJST!$D$4=dropdowns!$C$4),Liquiditeit!AG3&gt;IF(VRAGENLIJST!$D$21="",0,IFERROR(VLOOKUP(VRAGENLIJST!$D$21,dropdowns!$B$14:$F$21,5,FALSE),VLOOKUP(VRAGENLIJST!$D$21,dropdowns!$C$14:$F$21,4,FALSE)))),0,IF(AND(OR(VRAGENLIJST!$D$4=dropdowns!$B$5,VRAGENLIJST!$D$4=dropdowns!$C$5),Liquiditeit!AG3&lt;=IF(VRAGENLIJST!$D$21="",0,IFERROR(VLOOKUP(VRAGENLIJST!$D$21,dropdowns!$B$14:$F$21,5,FALSE),VLOOKUP(VRAGENLIJST!$D$21,dropdowns!$C$14:$F$21,4,FALSE)))),0,IF(AND(OR(VRAGENLIJST!$D$4=dropdowns!$B$5,VRAGENLIJST!$D$4=dropdowns!$C$5),Liquiditeit!AG3&gt;IF(VRAGENLIJST!$D$21="",0,IFERROR(VLOOKUP(VRAGENLIJST!$D$21,dropdowns!$B$14:$F$21,5,FALSE),VLOOKUP(VRAGENLIJST!$D$21,dropdowns!$C$14:$F$21,4,FALSE)))),0,0)))))+IF(AND(OR(VRAGENLIJST!$D$4=dropdowns!$B$5,VRAGENLIJST!$D$4=dropdowns!$C$5),Liquiditeit!AG3&lt;=IF(VRAGENLIJST!$D$21="",0,IFERROR(VLOOKUP(VRAGENLIJST!$D$21,dropdowns!$B$14:$F$21,5,FALSE),VLOOKUP(VRAGENLIJST!$D$21,dropdowns!$C$14:$F$21,4,FALSE)))),VRAGENLIJST!$D$66,IF(AND(OR(VRAGENLIJST!$D$4=dropdowns!$B$5,VRAGENLIJST!$D$4=dropdowns!$C$5),Liquiditeit!AG3&gt;IF(VRAGENLIJST!$D$21="",0,IFERROR(VLOOKUP(VRAGENLIJST!$D$21,dropdowns!$B$14:$F$21,5,FALSE),VLOOKUP(VRAGENLIJST!$D$21,dropdowns!$C$14:$F$21,4,FALSE)))),IF(SUM(VRAGENLIJST!$D$39:$D$61)-VRAGENLIJST!$D$34+IF(IF(VRAGENLIJST!$D$21="",0,IFERROR(VLOOKUP(VRAGENLIJST!$D$21,dropdowns!$B$14:$F$21,5,FALSE),VLOOKUP(VRAGENLIJST!$D$21,dropdowns!$C$14:$F$21,4,FALSE)))&gt;0,VRAGENLIJST!$D$19,0)&lt;0,0,SUM(VRAGENLIJST!$D$39:$D$61)-VRAGENLIJST!$D$34+IF(IF(VRAGENLIJST!$D$21="",0,IFERROR(VLOOKUP(VRAGENLIJST!$D$21,dropdowns!$B$14:$F$21,5,FALSE),VLOOKUP(VRAGENLIJST!$D$21,dropdowns!$C$14:$F$21,4,FALSE)))&gt;0,VRAGENLIJST!$D$19,0)),0))</f>
        <v>0</v>
      </c>
      <c r="AH39" s="318">
        <f>IF(OR(VRAGENLIJST!$D$4=dropdowns!$B$6,VRAGENLIJST!$D$4=dropdowns!$C$6),0,IF(AND(OR(VRAGENLIJST!$D$4=dropdowns!$B$4,VRAGENLIJST!$D$4=dropdowns!$C$4),Liquiditeit!AH3&lt;=IF(VRAGENLIJST!$D$21="",0,IFERROR(VLOOKUP(VRAGENLIJST!$D$21,dropdowns!$B$14:$F$21,5,FALSE),VLOOKUP(VRAGENLIJST!$D$21,dropdowns!$C$14:$F$21,4,FALSE)))),0,IF(AND(OR(VRAGENLIJST!$D$4=dropdowns!$B$4,VRAGENLIJST!$D$4=dropdowns!$C$4),Liquiditeit!AH3&gt;IF(VRAGENLIJST!$D$21="",0,IFERROR(VLOOKUP(VRAGENLIJST!$D$21,dropdowns!$B$14:$F$21,5,FALSE),VLOOKUP(VRAGENLIJST!$D$21,dropdowns!$C$14:$F$21,4,FALSE)))),0,IF(AND(OR(VRAGENLIJST!$D$4=dropdowns!$B$5,VRAGENLIJST!$D$4=dropdowns!$C$5),Liquiditeit!AH3&lt;=IF(VRAGENLIJST!$D$21="",0,IFERROR(VLOOKUP(VRAGENLIJST!$D$21,dropdowns!$B$14:$F$21,5,FALSE),VLOOKUP(VRAGENLIJST!$D$21,dropdowns!$C$14:$F$21,4,FALSE)))),0,IF(AND(OR(VRAGENLIJST!$D$4=dropdowns!$B$5,VRAGENLIJST!$D$4=dropdowns!$C$5),Liquiditeit!AH3&gt;IF(VRAGENLIJST!$D$21="",0,IFERROR(VLOOKUP(VRAGENLIJST!$D$21,dropdowns!$B$14:$F$21,5,FALSE),VLOOKUP(VRAGENLIJST!$D$21,dropdowns!$C$14:$F$21,4,FALSE)))),0,0)))))+IF(AND(OR(VRAGENLIJST!$D$4=dropdowns!$B$5,VRAGENLIJST!$D$4=dropdowns!$C$5),Liquiditeit!AH3&lt;=IF(VRAGENLIJST!$D$21="",0,IFERROR(VLOOKUP(VRAGENLIJST!$D$21,dropdowns!$B$14:$F$21,5,FALSE),VLOOKUP(VRAGENLIJST!$D$21,dropdowns!$C$14:$F$21,4,FALSE)))),VRAGENLIJST!$D$66,IF(AND(OR(VRAGENLIJST!$D$4=dropdowns!$B$5,VRAGENLIJST!$D$4=dropdowns!$C$5),Liquiditeit!AH3&gt;IF(VRAGENLIJST!$D$21="",0,IFERROR(VLOOKUP(VRAGENLIJST!$D$21,dropdowns!$B$14:$F$21,5,FALSE),VLOOKUP(VRAGENLIJST!$D$21,dropdowns!$C$14:$F$21,4,FALSE)))),IF(SUM(VRAGENLIJST!$D$39:$D$61)-VRAGENLIJST!$D$34+IF(IF(VRAGENLIJST!$D$21="",0,IFERROR(VLOOKUP(VRAGENLIJST!$D$21,dropdowns!$B$14:$F$21,5,FALSE),VLOOKUP(VRAGENLIJST!$D$21,dropdowns!$C$14:$F$21,4,FALSE)))&gt;0,VRAGENLIJST!$D$19,0)&lt;0,0,SUM(VRAGENLIJST!$D$39:$D$61)-VRAGENLIJST!$D$34+IF(IF(VRAGENLIJST!$D$21="",0,IFERROR(VLOOKUP(VRAGENLIJST!$D$21,dropdowns!$B$14:$F$21,5,FALSE),VLOOKUP(VRAGENLIJST!$D$21,dropdowns!$C$14:$F$21,4,FALSE)))&gt;0,VRAGENLIJST!$D$19,0)),0))</f>
        <v>0</v>
      </c>
      <c r="AI39" s="318">
        <f>IF(OR(VRAGENLIJST!$D$4=dropdowns!$B$6,VRAGENLIJST!$D$4=dropdowns!$C$6),0,IF(AND(OR(VRAGENLIJST!$D$4=dropdowns!$B$4,VRAGENLIJST!$D$4=dropdowns!$C$4),Liquiditeit!AI3&lt;=IF(VRAGENLIJST!$D$21="",0,IFERROR(VLOOKUP(VRAGENLIJST!$D$21,dropdowns!$B$14:$F$21,5,FALSE),VLOOKUP(VRAGENLIJST!$D$21,dropdowns!$C$14:$F$21,4,FALSE)))),0,IF(AND(OR(VRAGENLIJST!$D$4=dropdowns!$B$4,VRAGENLIJST!$D$4=dropdowns!$C$4),Liquiditeit!AI3&gt;IF(VRAGENLIJST!$D$21="",0,IFERROR(VLOOKUP(VRAGENLIJST!$D$21,dropdowns!$B$14:$F$21,5,FALSE),VLOOKUP(VRAGENLIJST!$D$21,dropdowns!$C$14:$F$21,4,FALSE)))),0,IF(AND(OR(VRAGENLIJST!$D$4=dropdowns!$B$5,VRAGENLIJST!$D$4=dropdowns!$C$5),Liquiditeit!AI3&lt;=IF(VRAGENLIJST!$D$21="",0,IFERROR(VLOOKUP(VRAGENLIJST!$D$21,dropdowns!$B$14:$F$21,5,FALSE),VLOOKUP(VRAGENLIJST!$D$21,dropdowns!$C$14:$F$21,4,FALSE)))),0,IF(AND(OR(VRAGENLIJST!$D$4=dropdowns!$B$5,VRAGENLIJST!$D$4=dropdowns!$C$5),Liquiditeit!AI3&gt;IF(VRAGENLIJST!$D$21="",0,IFERROR(VLOOKUP(VRAGENLIJST!$D$21,dropdowns!$B$14:$F$21,5,FALSE),VLOOKUP(VRAGENLIJST!$D$21,dropdowns!$C$14:$F$21,4,FALSE)))),0,0)))))+IF(AND(OR(VRAGENLIJST!$D$4=dropdowns!$B$5,VRAGENLIJST!$D$4=dropdowns!$C$5),Liquiditeit!AI3&lt;=IF(VRAGENLIJST!$D$21="",0,IFERROR(VLOOKUP(VRAGENLIJST!$D$21,dropdowns!$B$14:$F$21,5,FALSE),VLOOKUP(VRAGENLIJST!$D$21,dropdowns!$C$14:$F$21,4,FALSE)))),VRAGENLIJST!$D$66,IF(AND(OR(VRAGENLIJST!$D$4=dropdowns!$B$5,VRAGENLIJST!$D$4=dropdowns!$C$5),Liquiditeit!AI3&gt;IF(VRAGENLIJST!$D$21="",0,IFERROR(VLOOKUP(VRAGENLIJST!$D$21,dropdowns!$B$14:$F$21,5,FALSE),VLOOKUP(VRAGENLIJST!$D$21,dropdowns!$C$14:$F$21,4,FALSE)))),IF(SUM(VRAGENLIJST!$D$39:$D$61)-VRAGENLIJST!$D$34+IF(IF(VRAGENLIJST!$D$21="",0,IFERROR(VLOOKUP(VRAGENLIJST!$D$21,dropdowns!$B$14:$F$21,5,FALSE),VLOOKUP(VRAGENLIJST!$D$21,dropdowns!$C$14:$F$21,4,FALSE)))&gt;0,VRAGENLIJST!$D$19,0)&lt;0,0,SUM(VRAGENLIJST!$D$39:$D$61)-VRAGENLIJST!$D$34+IF(IF(VRAGENLIJST!$D$21="",0,IFERROR(VLOOKUP(VRAGENLIJST!$D$21,dropdowns!$B$14:$F$21,5,FALSE),VLOOKUP(VRAGENLIJST!$D$21,dropdowns!$C$14:$F$21,4,FALSE)))&gt;0,VRAGENLIJST!$D$19,0)),0))</f>
        <v>0</v>
      </c>
      <c r="AJ39" s="318">
        <f>IF(OR(VRAGENLIJST!$D$4=dropdowns!$B$6,VRAGENLIJST!$D$4=dropdowns!$C$6),0,IF(AND(OR(VRAGENLIJST!$D$4=dropdowns!$B$4,VRAGENLIJST!$D$4=dropdowns!$C$4),Liquiditeit!AJ3&lt;=IF(VRAGENLIJST!$D$21="",0,IFERROR(VLOOKUP(VRAGENLIJST!$D$21,dropdowns!$B$14:$F$21,5,FALSE),VLOOKUP(VRAGENLIJST!$D$21,dropdowns!$C$14:$F$21,4,FALSE)))),0,IF(AND(OR(VRAGENLIJST!$D$4=dropdowns!$B$4,VRAGENLIJST!$D$4=dropdowns!$C$4),Liquiditeit!AJ3&gt;IF(VRAGENLIJST!$D$21="",0,IFERROR(VLOOKUP(VRAGENLIJST!$D$21,dropdowns!$B$14:$F$21,5,FALSE),VLOOKUP(VRAGENLIJST!$D$21,dropdowns!$C$14:$F$21,4,FALSE)))),0,IF(AND(OR(VRAGENLIJST!$D$4=dropdowns!$B$5,VRAGENLIJST!$D$4=dropdowns!$C$5),Liquiditeit!AJ3&lt;=IF(VRAGENLIJST!$D$21="",0,IFERROR(VLOOKUP(VRAGENLIJST!$D$21,dropdowns!$B$14:$F$21,5,FALSE),VLOOKUP(VRAGENLIJST!$D$21,dropdowns!$C$14:$F$21,4,FALSE)))),0,IF(AND(OR(VRAGENLIJST!$D$4=dropdowns!$B$5,VRAGENLIJST!$D$4=dropdowns!$C$5),Liquiditeit!AJ3&gt;IF(VRAGENLIJST!$D$21="",0,IFERROR(VLOOKUP(VRAGENLIJST!$D$21,dropdowns!$B$14:$F$21,5,FALSE),VLOOKUP(VRAGENLIJST!$D$21,dropdowns!$C$14:$F$21,4,FALSE)))),0,0)))))+IF(AND(OR(VRAGENLIJST!$D$4=dropdowns!$B$5,VRAGENLIJST!$D$4=dropdowns!$C$5),Liquiditeit!AJ3&lt;=IF(VRAGENLIJST!$D$21="",0,IFERROR(VLOOKUP(VRAGENLIJST!$D$21,dropdowns!$B$14:$F$21,5,FALSE),VLOOKUP(VRAGENLIJST!$D$21,dropdowns!$C$14:$F$21,4,FALSE)))),VRAGENLIJST!$D$66,IF(AND(OR(VRAGENLIJST!$D$4=dropdowns!$B$5,VRAGENLIJST!$D$4=dropdowns!$C$5),Liquiditeit!AJ3&gt;IF(VRAGENLIJST!$D$21="",0,IFERROR(VLOOKUP(VRAGENLIJST!$D$21,dropdowns!$B$14:$F$21,5,FALSE),VLOOKUP(VRAGENLIJST!$D$21,dropdowns!$C$14:$F$21,4,FALSE)))),IF(SUM(VRAGENLIJST!$D$39:$D$61)-VRAGENLIJST!$D$34+IF(IF(VRAGENLIJST!$D$21="",0,IFERROR(VLOOKUP(VRAGENLIJST!$D$21,dropdowns!$B$14:$F$21,5,FALSE),VLOOKUP(VRAGENLIJST!$D$21,dropdowns!$C$14:$F$21,4,FALSE)))&gt;0,VRAGENLIJST!$D$19,0)&lt;0,0,SUM(VRAGENLIJST!$D$39:$D$61)-VRAGENLIJST!$D$34+IF(IF(VRAGENLIJST!$D$21="",0,IFERROR(VLOOKUP(VRAGENLIJST!$D$21,dropdowns!$B$14:$F$21,5,FALSE),VLOOKUP(VRAGENLIJST!$D$21,dropdowns!$C$14:$F$21,4,FALSE)))&gt;0,VRAGENLIJST!$D$19,0)),0))</f>
        <v>0</v>
      </c>
      <c r="AK39" s="318">
        <f>IF(OR(VRAGENLIJST!$D$4=dropdowns!$B$6,VRAGENLIJST!$D$4=dropdowns!$C$6),0,IF(AND(OR(VRAGENLIJST!$D$4=dropdowns!$B$4,VRAGENLIJST!$D$4=dropdowns!$C$4),Liquiditeit!AK3&lt;=IF(VRAGENLIJST!$D$21="",0,IFERROR(VLOOKUP(VRAGENLIJST!$D$21,dropdowns!$B$14:$F$21,5,FALSE),VLOOKUP(VRAGENLIJST!$D$21,dropdowns!$C$14:$F$21,4,FALSE)))),0,IF(AND(OR(VRAGENLIJST!$D$4=dropdowns!$B$4,VRAGENLIJST!$D$4=dropdowns!$C$4),Liquiditeit!AK3&gt;IF(VRAGENLIJST!$D$21="",0,IFERROR(VLOOKUP(VRAGENLIJST!$D$21,dropdowns!$B$14:$F$21,5,FALSE),VLOOKUP(VRAGENLIJST!$D$21,dropdowns!$C$14:$F$21,4,FALSE)))),0,IF(AND(OR(VRAGENLIJST!$D$4=dropdowns!$B$5,VRAGENLIJST!$D$4=dropdowns!$C$5),Liquiditeit!AK3&lt;=IF(VRAGENLIJST!$D$21="",0,IFERROR(VLOOKUP(VRAGENLIJST!$D$21,dropdowns!$B$14:$F$21,5,FALSE),VLOOKUP(VRAGENLIJST!$D$21,dropdowns!$C$14:$F$21,4,FALSE)))),0,IF(AND(OR(VRAGENLIJST!$D$4=dropdowns!$B$5,VRAGENLIJST!$D$4=dropdowns!$C$5),Liquiditeit!AK3&gt;IF(VRAGENLIJST!$D$21="",0,IFERROR(VLOOKUP(VRAGENLIJST!$D$21,dropdowns!$B$14:$F$21,5,FALSE),VLOOKUP(VRAGENLIJST!$D$21,dropdowns!$C$14:$F$21,4,FALSE)))),0,0)))))+IF(AND(OR(VRAGENLIJST!$D$4=dropdowns!$B$5,VRAGENLIJST!$D$4=dropdowns!$C$5),Liquiditeit!AK3&lt;=IF(VRAGENLIJST!$D$21="",0,IFERROR(VLOOKUP(VRAGENLIJST!$D$21,dropdowns!$B$14:$F$21,5,FALSE),VLOOKUP(VRAGENLIJST!$D$21,dropdowns!$C$14:$F$21,4,FALSE)))),VRAGENLIJST!$D$66,IF(AND(OR(VRAGENLIJST!$D$4=dropdowns!$B$5,VRAGENLIJST!$D$4=dropdowns!$C$5),Liquiditeit!AK3&gt;IF(VRAGENLIJST!$D$21="",0,IFERROR(VLOOKUP(VRAGENLIJST!$D$21,dropdowns!$B$14:$F$21,5,FALSE),VLOOKUP(VRAGENLIJST!$D$21,dropdowns!$C$14:$F$21,4,FALSE)))),IF(SUM(VRAGENLIJST!$D$39:$D$61)-VRAGENLIJST!$D$34+IF(IF(VRAGENLIJST!$D$21="",0,IFERROR(VLOOKUP(VRAGENLIJST!$D$21,dropdowns!$B$14:$F$21,5,FALSE),VLOOKUP(VRAGENLIJST!$D$21,dropdowns!$C$14:$F$21,4,FALSE)))&gt;0,VRAGENLIJST!$D$19,0)&lt;0,0,SUM(VRAGENLIJST!$D$39:$D$61)-VRAGENLIJST!$D$34+IF(IF(VRAGENLIJST!$D$21="",0,IFERROR(VLOOKUP(VRAGENLIJST!$D$21,dropdowns!$B$14:$F$21,5,FALSE),VLOOKUP(VRAGENLIJST!$D$21,dropdowns!$C$14:$F$21,4,FALSE)))&gt;0,VRAGENLIJST!$D$19,0)),0))</f>
        <v>0</v>
      </c>
      <c r="AL39" s="318">
        <f>IF(OR(VRAGENLIJST!$D$4=dropdowns!$B$6,VRAGENLIJST!$D$4=dropdowns!$C$6),0,IF(AND(OR(VRAGENLIJST!$D$4=dropdowns!$B$4,VRAGENLIJST!$D$4=dropdowns!$C$4),Liquiditeit!AL3&lt;=IF(VRAGENLIJST!$D$21="",0,IFERROR(VLOOKUP(VRAGENLIJST!$D$21,dropdowns!$B$14:$F$21,5,FALSE),VLOOKUP(VRAGENLIJST!$D$21,dropdowns!$C$14:$F$21,4,FALSE)))),0,IF(AND(OR(VRAGENLIJST!$D$4=dropdowns!$B$4,VRAGENLIJST!$D$4=dropdowns!$C$4),Liquiditeit!AL3&gt;IF(VRAGENLIJST!$D$21="",0,IFERROR(VLOOKUP(VRAGENLIJST!$D$21,dropdowns!$B$14:$F$21,5,FALSE),VLOOKUP(VRAGENLIJST!$D$21,dropdowns!$C$14:$F$21,4,FALSE)))),0,IF(AND(OR(VRAGENLIJST!$D$4=dropdowns!$B$5,VRAGENLIJST!$D$4=dropdowns!$C$5),Liquiditeit!AL3&lt;=IF(VRAGENLIJST!$D$21="",0,IFERROR(VLOOKUP(VRAGENLIJST!$D$21,dropdowns!$B$14:$F$21,5,FALSE),VLOOKUP(VRAGENLIJST!$D$21,dropdowns!$C$14:$F$21,4,FALSE)))),0,IF(AND(OR(VRAGENLIJST!$D$4=dropdowns!$B$5,VRAGENLIJST!$D$4=dropdowns!$C$5),Liquiditeit!AL3&gt;IF(VRAGENLIJST!$D$21="",0,IFERROR(VLOOKUP(VRAGENLIJST!$D$21,dropdowns!$B$14:$F$21,5,FALSE),VLOOKUP(VRAGENLIJST!$D$21,dropdowns!$C$14:$F$21,4,FALSE)))),0,0)))))+IF(AND(OR(VRAGENLIJST!$D$4=dropdowns!$B$5,VRAGENLIJST!$D$4=dropdowns!$C$5),Liquiditeit!AL3&lt;=IF(VRAGENLIJST!$D$21="",0,IFERROR(VLOOKUP(VRAGENLIJST!$D$21,dropdowns!$B$14:$F$21,5,FALSE),VLOOKUP(VRAGENLIJST!$D$21,dropdowns!$C$14:$F$21,4,FALSE)))),VRAGENLIJST!$D$66,IF(AND(OR(VRAGENLIJST!$D$4=dropdowns!$B$5,VRAGENLIJST!$D$4=dropdowns!$C$5),Liquiditeit!AL3&gt;IF(VRAGENLIJST!$D$21="",0,IFERROR(VLOOKUP(VRAGENLIJST!$D$21,dropdowns!$B$14:$F$21,5,FALSE),VLOOKUP(VRAGENLIJST!$D$21,dropdowns!$C$14:$F$21,4,FALSE)))),IF(SUM(VRAGENLIJST!$D$39:$D$61)-VRAGENLIJST!$D$34+IF(IF(VRAGENLIJST!$D$21="",0,IFERROR(VLOOKUP(VRAGENLIJST!$D$21,dropdowns!$B$14:$F$21,5,FALSE),VLOOKUP(VRAGENLIJST!$D$21,dropdowns!$C$14:$F$21,4,FALSE)))&gt;0,VRAGENLIJST!$D$19,0)&lt;0,0,SUM(VRAGENLIJST!$D$39:$D$61)-VRAGENLIJST!$D$34+IF(IF(VRAGENLIJST!$D$21="",0,IFERROR(VLOOKUP(VRAGENLIJST!$D$21,dropdowns!$B$14:$F$21,5,FALSE),VLOOKUP(VRAGENLIJST!$D$21,dropdowns!$C$14:$F$21,4,FALSE)))&gt;0,VRAGENLIJST!$D$19,0)),0))</f>
        <v>0</v>
      </c>
      <c r="AM39" s="318">
        <f>IF(OR(VRAGENLIJST!$D$4=dropdowns!$B$6,VRAGENLIJST!$D$4=dropdowns!$C$6),0,IF(AND(OR(VRAGENLIJST!$D$4=dropdowns!$B$4,VRAGENLIJST!$D$4=dropdowns!$C$4),Liquiditeit!AM3&lt;=IF(VRAGENLIJST!$D$21="",0,IFERROR(VLOOKUP(VRAGENLIJST!$D$21,dropdowns!$B$14:$F$21,5,FALSE),VLOOKUP(VRAGENLIJST!$D$21,dropdowns!$C$14:$F$21,4,FALSE)))),0,IF(AND(OR(VRAGENLIJST!$D$4=dropdowns!$B$4,VRAGENLIJST!$D$4=dropdowns!$C$4),Liquiditeit!AM3&gt;IF(VRAGENLIJST!$D$21="",0,IFERROR(VLOOKUP(VRAGENLIJST!$D$21,dropdowns!$B$14:$F$21,5,FALSE),VLOOKUP(VRAGENLIJST!$D$21,dropdowns!$C$14:$F$21,4,FALSE)))),0,IF(AND(OR(VRAGENLIJST!$D$4=dropdowns!$B$5,VRAGENLIJST!$D$4=dropdowns!$C$5),Liquiditeit!AM3&lt;=IF(VRAGENLIJST!$D$21="",0,IFERROR(VLOOKUP(VRAGENLIJST!$D$21,dropdowns!$B$14:$F$21,5,FALSE),VLOOKUP(VRAGENLIJST!$D$21,dropdowns!$C$14:$F$21,4,FALSE)))),0,IF(AND(OR(VRAGENLIJST!$D$4=dropdowns!$B$5,VRAGENLIJST!$D$4=dropdowns!$C$5),Liquiditeit!AM3&gt;IF(VRAGENLIJST!$D$21="",0,IFERROR(VLOOKUP(VRAGENLIJST!$D$21,dropdowns!$B$14:$F$21,5,FALSE),VLOOKUP(VRAGENLIJST!$D$21,dropdowns!$C$14:$F$21,4,FALSE)))),0,0)))))+IF(AND(OR(VRAGENLIJST!$D$4=dropdowns!$B$5,VRAGENLIJST!$D$4=dropdowns!$C$5),Liquiditeit!AM3&lt;=IF(VRAGENLIJST!$D$21="",0,IFERROR(VLOOKUP(VRAGENLIJST!$D$21,dropdowns!$B$14:$F$21,5,FALSE),VLOOKUP(VRAGENLIJST!$D$21,dropdowns!$C$14:$F$21,4,FALSE)))),VRAGENLIJST!$D$66,IF(AND(OR(VRAGENLIJST!$D$4=dropdowns!$B$5,VRAGENLIJST!$D$4=dropdowns!$C$5),Liquiditeit!AM3&gt;IF(VRAGENLIJST!$D$21="",0,IFERROR(VLOOKUP(VRAGENLIJST!$D$21,dropdowns!$B$14:$F$21,5,FALSE),VLOOKUP(VRAGENLIJST!$D$21,dropdowns!$C$14:$F$21,4,FALSE)))),IF(SUM(VRAGENLIJST!$D$39:$D$61)-VRAGENLIJST!$D$34+IF(IF(VRAGENLIJST!$D$21="",0,IFERROR(VLOOKUP(VRAGENLIJST!$D$21,dropdowns!$B$14:$F$21,5,FALSE),VLOOKUP(VRAGENLIJST!$D$21,dropdowns!$C$14:$F$21,4,FALSE)))&gt;0,VRAGENLIJST!$D$19,0)&lt;0,0,SUM(VRAGENLIJST!$D$39:$D$61)-VRAGENLIJST!$D$34+IF(IF(VRAGENLIJST!$D$21="",0,IFERROR(VLOOKUP(VRAGENLIJST!$D$21,dropdowns!$B$14:$F$21,5,FALSE),VLOOKUP(VRAGENLIJST!$D$21,dropdowns!$C$14:$F$21,4,FALSE)))&gt;0,VRAGENLIJST!$D$19,0)),0))</f>
        <v>0</v>
      </c>
      <c r="AN39" s="318">
        <f>IF(OR(VRAGENLIJST!$D$4=dropdowns!$B$6,VRAGENLIJST!$D$4=dropdowns!$C$6),0,IF(AND(OR(VRAGENLIJST!$D$4=dropdowns!$B$4,VRAGENLIJST!$D$4=dropdowns!$C$4),Liquiditeit!AN3&lt;=IF(VRAGENLIJST!$D$21="",0,IFERROR(VLOOKUP(VRAGENLIJST!$D$21,dropdowns!$B$14:$F$21,5,FALSE),VLOOKUP(VRAGENLIJST!$D$21,dropdowns!$C$14:$F$21,4,FALSE)))),0,IF(AND(OR(VRAGENLIJST!$D$4=dropdowns!$B$4,VRAGENLIJST!$D$4=dropdowns!$C$4),Liquiditeit!AN3&gt;IF(VRAGENLIJST!$D$21="",0,IFERROR(VLOOKUP(VRAGENLIJST!$D$21,dropdowns!$B$14:$F$21,5,FALSE),VLOOKUP(VRAGENLIJST!$D$21,dropdowns!$C$14:$F$21,4,FALSE)))),0,IF(AND(OR(VRAGENLIJST!$D$4=dropdowns!$B$5,VRAGENLIJST!$D$4=dropdowns!$C$5),Liquiditeit!AN3&lt;=IF(VRAGENLIJST!$D$21="",0,IFERROR(VLOOKUP(VRAGENLIJST!$D$21,dropdowns!$B$14:$F$21,5,FALSE),VLOOKUP(VRAGENLIJST!$D$21,dropdowns!$C$14:$F$21,4,FALSE)))),0,IF(AND(OR(VRAGENLIJST!$D$4=dropdowns!$B$5,VRAGENLIJST!$D$4=dropdowns!$C$5),Liquiditeit!AN3&gt;IF(VRAGENLIJST!$D$21="",0,IFERROR(VLOOKUP(VRAGENLIJST!$D$21,dropdowns!$B$14:$F$21,5,FALSE),VLOOKUP(VRAGENLIJST!$D$21,dropdowns!$C$14:$F$21,4,FALSE)))),0,0)))))+IF(AND(OR(VRAGENLIJST!$D$4=dropdowns!$B$5,VRAGENLIJST!$D$4=dropdowns!$C$5),Liquiditeit!AN3&lt;=IF(VRAGENLIJST!$D$21="",0,IFERROR(VLOOKUP(VRAGENLIJST!$D$21,dropdowns!$B$14:$F$21,5,FALSE),VLOOKUP(VRAGENLIJST!$D$21,dropdowns!$C$14:$F$21,4,FALSE)))),VRAGENLIJST!$D$66,IF(AND(OR(VRAGENLIJST!$D$4=dropdowns!$B$5,VRAGENLIJST!$D$4=dropdowns!$C$5),Liquiditeit!AN3&gt;IF(VRAGENLIJST!$D$21="",0,IFERROR(VLOOKUP(VRAGENLIJST!$D$21,dropdowns!$B$14:$F$21,5,FALSE),VLOOKUP(VRAGENLIJST!$D$21,dropdowns!$C$14:$F$21,4,FALSE)))),IF(SUM(VRAGENLIJST!$D$39:$D$61)-VRAGENLIJST!$D$34+IF(IF(VRAGENLIJST!$D$21="",0,IFERROR(VLOOKUP(VRAGENLIJST!$D$21,dropdowns!$B$14:$F$21,5,FALSE),VLOOKUP(VRAGENLIJST!$D$21,dropdowns!$C$14:$F$21,4,FALSE)))&gt;0,VRAGENLIJST!$D$19,0)&lt;0,0,SUM(VRAGENLIJST!$D$39:$D$61)-VRAGENLIJST!$D$34+IF(IF(VRAGENLIJST!$D$21="",0,IFERROR(VLOOKUP(VRAGENLIJST!$D$21,dropdowns!$B$14:$F$21,5,FALSE),VLOOKUP(VRAGENLIJST!$D$21,dropdowns!$C$14:$F$21,4,FALSE)))&gt;0,VRAGENLIJST!$D$19,0)),0))</f>
        <v>0</v>
      </c>
      <c r="AO39" s="318">
        <f>IF(OR(VRAGENLIJST!$D$4=dropdowns!$B$6,VRAGENLIJST!$D$4=dropdowns!$C$6),0,IF(AND(OR(VRAGENLIJST!$D$4=dropdowns!$B$4,VRAGENLIJST!$D$4=dropdowns!$C$4),Liquiditeit!AO3&lt;=IF(VRAGENLIJST!$D$21="",0,IFERROR(VLOOKUP(VRAGENLIJST!$D$21,dropdowns!$B$14:$F$21,5,FALSE),VLOOKUP(VRAGENLIJST!$D$21,dropdowns!$C$14:$F$21,4,FALSE)))),0,IF(AND(OR(VRAGENLIJST!$D$4=dropdowns!$B$4,VRAGENLIJST!$D$4=dropdowns!$C$4),Liquiditeit!AO3&gt;IF(VRAGENLIJST!$D$21="",0,IFERROR(VLOOKUP(VRAGENLIJST!$D$21,dropdowns!$B$14:$F$21,5,FALSE),VLOOKUP(VRAGENLIJST!$D$21,dropdowns!$C$14:$F$21,4,FALSE)))),0,IF(AND(OR(VRAGENLIJST!$D$4=dropdowns!$B$5,VRAGENLIJST!$D$4=dropdowns!$C$5),Liquiditeit!AO3&lt;=IF(VRAGENLIJST!$D$21="",0,IFERROR(VLOOKUP(VRAGENLIJST!$D$21,dropdowns!$B$14:$F$21,5,FALSE),VLOOKUP(VRAGENLIJST!$D$21,dropdowns!$C$14:$F$21,4,FALSE)))),0,IF(AND(OR(VRAGENLIJST!$D$4=dropdowns!$B$5,VRAGENLIJST!$D$4=dropdowns!$C$5),Liquiditeit!AO3&gt;IF(VRAGENLIJST!$D$21="",0,IFERROR(VLOOKUP(VRAGENLIJST!$D$21,dropdowns!$B$14:$F$21,5,FALSE),VLOOKUP(VRAGENLIJST!$D$21,dropdowns!$C$14:$F$21,4,FALSE)))),0,0)))))+IF(AND(OR(VRAGENLIJST!$D$4=dropdowns!$B$5,VRAGENLIJST!$D$4=dropdowns!$C$5),Liquiditeit!AO3&lt;=IF(VRAGENLIJST!$D$21="",0,IFERROR(VLOOKUP(VRAGENLIJST!$D$21,dropdowns!$B$14:$F$21,5,FALSE),VLOOKUP(VRAGENLIJST!$D$21,dropdowns!$C$14:$F$21,4,FALSE)))),VRAGENLIJST!$D$66,IF(AND(OR(VRAGENLIJST!$D$4=dropdowns!$B$5,VRAGENLIJST!$D$4=dropdowns!$C$5),Liquiditeit!AO3&gt;IF(VRAGENLIJST!$D$21="",0,IFERROR(VLOOKUP(VRAGENLIJST!$D$21,dropdowns!$B$14:$F$21,5,FALSE),VLOOKUP(VRAGENLIJST!$D$21,dropdowns!$C$14:$F$21,4,FALSE)))),IF(SUM(VRAGENLIJST!$D$39:$D$61)-VRAGENLIJST!$D$34+IF(IF(VRAGENLIJST!$D$21="",0,IFERROR(VLOOKUP(VRAGENLIJST!$D$21,dropdowns!$B$14:$F$21,5,FALSE),VLOOKUP(VRAGENLIJST!$D$21,dropdowns!$C$14:$F$21,4,FALSE)))&gt;0,VRAGENLIJST!$D$19,0)&lt;0,0,SUM(VRAGENLIJST!$D$39:$D$61)-VRAGENLIJST!$D$34+IF(IF(VRAGENLIJST!$D$21="",0,IFERROR(VLOOKUP(VRAGENLIJST!$D$21,dropdowns!$B$14:$F$21,5,FALSE),VLOOKUP(VRAGENLIJST!$D$21,dropdowns!$C$14:$F$21,4,FALSE)))&gt;0,VRAGENLIJST!$D$19,0)),0))</f>
        <v>0</v>
      </c>
      <c r="AP39" s="320">
        <f>SUM(AD39:AO39)</f>
        <v>0</v>
      </c>
    </row>
    <row r="40" spans="2:42" ht="14.25" customHeight="1" x14ac:dyDescent="0.25">
      <c r="B40" s="301" t="str">
        <f>VRAGENLIJST!$H$10</f>
        <v>Ondernemer:</v>
      </c>
      <c r="C40" s="319"/>
      <c r="D40" s="319"/>
      <c r="E40" s="319"/>
      <c r="F40" s="319"/>
      <c r="G40" s="319"/>
      <c r="H40" s="319"/>
      <c r="I40" s="319"/>
      <c r="J40" s="319"/>
      <c r="K40" s="319"/>
      <c r="L40" s="319"/>
      <c r="M40" s="319"/>
      <c r="N40" s="319"/>
      <c r="O40" s="319"/>
      <c r="P40" s="325"/>
      <c r="Q40" s="319"/>
      <c r="R40" s="319"/>
      <c r="S40" s="319"/>
      <c r="T40" s="319"/>
      <c r="U40" s="319"/>
      <c r="V40" s="319"/>
      <c r="W40" s="319"/>
      <c r="X40" s="319"/>
      <c r="Y40" s="319"/>
      <c r="Z40" s="319"/>
      <c r="AA40" s="319"/>
      <c r="AB40" s="319"/>
      <c r="AC40" s="325"/>
      <c r="AD40" s="319"/>
      <c r="AE40" s="319"/>
      <c r="AF40" s="319"/>
      <c r="AG40" s="319"/>
      <c r="AH40" s="319"/>
      <c r="AI40" s="319"/>
      <c r="AJ40" s="319"/>
      <c r="AK40" s="319"/>
      <c r="AL40" s="319"/>
      <c r="AM40" s="319"/>
      <c r="AN40" s="319"/>
      <c r="AO40" s="319"/>
      <c r="AP40" s="325"/>
    </row>
    <row r="41" spans="2:42" ht="14.25" customHeight="1" x14ac:dyDescent="0.25">
      <c r="B41" s="317" t="str">
        <f>IF(VRAGENLIJST!$D$4=dropdowns!$A$6,Vertaling!A295,Vertaling!A298)</f>
        <v xml:space="preserve"> Afdracht inkomstenbelasting</v>
      </c>
      <c r="C41" s="319"/>
      <c r="D41" s="318">
        <f ca="1">IF(SUM($P$11:$P$13)=0,0,$P41*(SUM(D11:D13)/SUM($P$11:$P$13)))</f>
        <v>0</v>
      </c>
      <c r="E41" s="318">
        <f t="shared" ref="E41:O41" ca="1" si="12">IF(SUM($P$11:$P$13)=0,0,$P41*(SUM(E11:E13)/SUM($P$11:$P$13)))</f>
        <v>0</v>
      </c>
      <c r="F41" s="318">
        <f t="shared" ca="1" si="12"/>
        <v>0</v>
      </c>
      <c r="G41" s="318">
        <f t="shared" ca="1" si="12"/>
        <v>0</v>
      </c>
      <c r="H41" s="318">
        <f t="shared" ca="1" si="12"/>
        <v>0</v>
      </c>
      <c r="I41" s="318">
        <f t="shared" ca="1" si="12"/>
        <v>0</v>
      </c>
      <c r="J41" s="318">
        <f t="shared" ca="1" si="12"/>
        <v>0</v>
      </c>
      <c r="K41" s="318">
        <f t="shared" ca="1" si="12"/>
        <v>0</v>
      </c>
      <c r="L41" s="318">
        <f t="shared" ca="1" si="12"/>
        <v>0</v>
      </c>
      <c r="M41" s="318">
        <f t="shared" ca="1" si="12"/>
        <v>0</v>
      </c>
      <c r="N41" s="318">
        <f t="shared" ca="1" si="12"/>
        <v>0</v>
      </c>
      <c r="O41" s="318">
        <f t="shared" ca="1" si="12"/>
        <v>0</v>
      </c>
      <c r="P41" s="320">
        <f>Exploitatie!$C$46</f>
        <v>0</v>
      </c>
      <c r="Q41" s="318">
        <f ca="1">IF(SUM($AC$11:$AC$13)=0,0,$AC41*(SUM(Q11:Q13)/SUM($AC$11:$AC$13)))</f>
        <v>0</v>
      </c>
      <c r="R41" s="318">
        <f t="shared" ref="R41:AB41" ca="1" si="13">IF(SUM($AC$11:$AC$13)=0,0,$AC41*(SUM(R11:R13)/SUM($AC$11:$AC$13)))</f>
        <v>0</v>
      </c>
      <c r="S41" s="318">
        <f t="shared" ca="1" si="13"/>
        <v>0</v>
      </c>
      <c r="T41" s="318">
        <f t="shared" ca="1" si="13"/>
        <v>0</v>
      </c>
      <c r="U41" s="318">
        <f t="shared" ca="1" si="13"/>
        <v>0</v>
      </c>
      <c r="V41" s="318">
        <f t="shared" ca="1" si="13"/>
        <v>0</v>
      </c>
      <c r="W41" s="318">
        <f t="shared" ca="1" si="13"/>
        <v>0</v>
      </c>
      <c r="X41" s="318">
        <f t="shared" ca="1" si="13"/>
        <v>0</v>
      </c>
      <c r="Y41" s="318">
        <f t="shared" ca="1" si="13"/>
        <v>0</v>
      </c>
      <c r="Z41" s="318">
        <f t="shared" ca="1" si="13"/>
        <v>0</v>
      </c>
      <c r="AA41" s="318">
        <f t="shared" ca="1" si="13"/>
        <v>0</v>
      </c>
      <c r="AB41" s="318">
        <f t="shared" ca="1" si="13"/>
        <v>0</v>
      </c>
      <c r="AC41" s="320">
        <f>Exploitatie!$C$46</f>
        <v>0</v>
      </c>
      <c r="AD41" s="318">
        <f ca="1">IF(SUM($AP$11:$AP$13)=0,0,$AP41*(SUM(AD11:AD13)/SUM($AP$11:$AP$13)))</f>
        <v>0</v>
      </c>
      <c r="AE41" s="318">
        <f t="shared" ref="AE41:AO41" ca="1" si="14">IF(SUM($AP$11:$AP$13)=0,0,$AP41*(SUM(AE11:AE13)/SUM($AP$11:$AP$13)))</f>
        <v>0</v>
      </c>
      <c r="AF41" s="318">
        <f t="shared" ca="1" si="14"/>
        <v>0</v>
      </c>
      <c r="AG41" s="318">
        <f t="shared" ca="1" si="14"/>
        <v>0</v>
      </c>
      <c r="AH41" s="318">
        <f t="shared" ca="1" si="14"/>
        <v>0</v>
      </c>
      <c r="AI41" s="318">
        <f t="shared" ca="1" si="14"/>
        <v>0</v>
      </c>
      <c r="AJ41" s="318">
        <f t="shared" ca="1" si="14"/>
        <v>0</v>
      </c>
      <c r="AK41" s="318">
        <f t="shared" ca="1" si="14"/>
        <v>0</v>
      </c>
      <c r="AL41" s="318">
        <f t="shared" ca="1" si="14"/>
        <v>0</v>
      </c>
      <c r="AM41" s="318">
        <f t="shared" ca="1" si="14"/>
        <v>0</v>
      </c>
      <c r="AN41" s="318">
        <f t="shared" ca="1" si="14"/>
        <v>0</v>
      </c>
      <c r="AO41" s="318">
        <f t="shared" ca="1" si="14"/>
        <v>0</v>
      </c>
      <c r="AP41" s="320">
        <f>Exploitatie!$C$46</f>
        <v>0</v>
      </c>
    </row>
    <row r="42" spans="2:42" ht="14.25" customHeight="1" x14ac:dyDescent="0.25">
      <c r="B42" s="317" t="str">
        <f>IF(VRAGENLIJST!$D$4=dropdowns!$A$6,Vertaling!A299,Vertaling!A300)</f>
        <v xml:space="preserve"> Privéonttrekking</v>
      </c>
      <c r="C42" s="319"/>
      <c r="D42" s="318">
        <f>IF(OR(VRAGENLIJST!$D$4=dropdowns!$B$6,VRAGENLIJST!$D$4=dropdowns!$C$6),0,IF(AND(OR(VRAGENLIJST!$D$4=dropdowns!$B$4,VRAGENLIJST!$D$4=dropdowns!$C$4),Liquiditeit!D3&lt;=IF(VRAGENLIJST!$H$21="",0,IFERROR(VLOOKUP(VRAGENLIJST!$H$21,dropdowns!$B$14:$F$21,5,FALSE),VLOOKUP(VRAGENLIJST!$H$21,dropdowns!$C$14:$F$21,4,FALSE)))),VRAGENLIJST!$H$66,IF(AND(OR(VRAGENLIJST!$D$4=dropdowns!$B$4,VRAGENLIJST!$D$4=dropdowns!$C$4),Liquiditeit!D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IF(AND(OR(VRAGENLIJST!$D$4=dropdowns!$B$5,VRAGENLIJST!$D$4=dropdowns!$C$5),Liquiditeit!D3&lt;=IF(VRAGENLIJST!$H$21="",0,IFERROR(VLOOKUP(VRAGENLIJST!$H$21,dropdowns!$B$14:$F$21,5,FALSE),VLOOKUP(VRAGENLIJST!$H$21,dropdowns!$C$14:$F$21,4,FALSE)))),VRAGENLIJST!$H$66,IF(AND(OR(VRAGENLIJST!$D$4=dropdowns!$B$5,VRAGENLIJST!$D$4=dropdowns!$C$5),Liquiditeit!D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0)))))+IF(AND(OR(VRAGENLIJST!$D$4=dropdowns!$B$5,VRAGENLIJST!$D$4=dropdowns!$C$5),Liquiditeit!D3&lt;=IF(VRAGENLIJST!$H$21="",0,IFERROR(VLOOKUP(VRAGENLIJST!$H$21,dropdowns!$B$14:$F$21,5,FALSE),VLOOKUP(VRAGENLIJST!$H$21,dropdowns!$C$14:$F$21,4,FALSE)))),0,IF(AND(OR(VRAGENLIJST!$D$4=dropdowns!$B$5,VRAGENLIJST!$D$4=dropdowns!$C$5),Liquiditeit!D3&gt;IF(VRAGENLIJST!$H$21="",0,IFERROR(VLOOKUP(VRAGENLIJST!$H$21,dropdowns!$B$14:$F$21,5,FALSE),VLOOKUP(VRAGENLIJST!$H$21,dropdowns!$C$14:$F$21,4,FALSE)))),0,0))</f>
        <v>0</v>
      </c>
      <c r="E42" s="318">
        <f>IF(OR(VRAGENLIJST!$D$4=dropdowns!$B$6,VRAGENLIJST!$D$4=dropdowns!$C$6),0,IF(AND(OR(VRAGENLIJST!$D$4=dropdowns!$B$4,VRAGENLIJST!$D$4=dropdowns!$C$4),Liquiditeit!E3&lt;=IF(VRAGENLIJST!$H$21="",0,IFERROR(VLOOKUP(VRAGENLIJST!$H$21,dropdowns!$B$14:$F$21,5,FALSE),VLOOKUP(VRAGENLIJST!$H$21,dropdowns!$C$14:$F$21,4,FALSE)))),VRAGENLIJST!$H$66,IF(AND(OR(VRAGENLIJST!$D$4=dropdowns!$B$4,VRAGENLIJST!$D$4=dropdowns!$C$4),Liquiditeit!E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IF(AND(OR(VRAGENLIJST!$D$4=dropdowns!$B$5,VRAGENLIJST!$D$4=dropdowns!$C$5),Liquiditeit!E3&lt;=IF(VRAGENLIJST!$H$21="",0,IFERROR(VLOOKUP(VRAGENLIJST!$H$21,dropdowns!$B$14:$F$21,5,FALSE),VLOOKUP(VRAGENLIJST!$H$21,dropdowns!$C$14:$F$21,4,FALSE)))),VRAGENLIJST!$H$66,IF(AND(OR(VRAGENLIJST!$D$4=dropdowns!$B$5,VRAGENLIJST!$D$4=dropdowns!$C$5),Liquiditeit!E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0)))))+IF(AND(OR(VRAGENLIJST!$D$4=dropdowns!$B$5,VRAGENLIJST!$D$4=dropdowns!$C$5),Liquiditeit!E3&lt;=IF(VRAGENLIJST!$H$21="",0,IFERROR(VLOOKUP(VRAGENLIJST!$H$21,dropdowns!$B$14:$F$21,5,FALSE),VLOOKUP(VRAGENLIJST!$H$21,dropdowns!$C$14:$F$21,4,FALSE)))),0,IF(AND(OR(VRAGENLIJST!$D$4=dropdowns!$B$5,VRAGENLIJST!$D$4=dropdowns!$C$5),Liquiditeit!E3&gt;IF(VRAGENLIJST!$H$21="",0,IFERROR(VLOOKUP(VRAGENLIJST!$H$21,dropdowns!$B$14:$F$21,5,FALSE),VLOOKUP(VRAGENLIJST!$H$21,dropdowns!$C$14:$F$21,4,FALSE)))),0,0))</f>
        <v>0</v>
      </c>
      <c r="F42" s="318">
        <f>IF(OR(VRAGENLIJST!$D$4=dropdowns!$B$6,VRAGENLIJST!$D$4=dropdowns!$C$6),0,IF(AND(OR(VRAGENLIJST!$D$4=dropdowns!$B$4,VRAGENLIJST!$D$4=dropdowns!$C$4),Liquiditeit!F3&lt;=IF(VRAGENLIJST!$H$21="",0,IFERROR(VLOOKUP(VRAGENLIJST!$H$21,dropdowns!$B$14:$F$21,5,FALSE),VLOOKUP(VRAGENLIJST!$H$21,dropdowns!$C$14:$F$21,4,FALSE)))),VRAGENLIJST!$H$66,IF(AND(OR(VRAGENLIJST!$D$4=dropdowns!$B$4,VRAGENLIJST!$D$4=dropdowns!$C$4),Liquiditeit!F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IF(AND(OR(VRAGENLIJST!$D$4=dropdowns!$B$5,VRAGENLIJST!$D$4=dropdowns!$C$5),Liquiditeit!F3&lt;=IF(VRAGENLIJST!$H$21="",0,IFERROR(VLOOKUP(VRAGENLIJST!$H$21,dropdowns!$B$14:$F$21,5,FALSE),VLOOKUP(VRAGENLIJST!$H$21,dropdowns!$C$14:$F$21,4,FALSE)))),VRAGENLIJST!$H$66,IF(AND(OR(VRAGENLIJST!$D$4=dropdowns!$B$5,VRAGENLIJST!$D$4=dropdowns!$C$5),Liquiditeit!F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0)))))+IF(AND(OR(VRAGENLIJST!$D$4=dropdowns!$B$5,VRAGENLIJST!$D$4=dropdowns!$C$5),Liquiditeit!F3&lt;=IF(VRAGENLIJST!$H$21="",0,IFERROR(VLOOKUP(VRAGENLIJST!$H$21,dropdowns!$B$14:$F$21,5,FALSE),VLOOKUP(VRAGENLIJST!$H$21,dropdowns!$C$14:$F$21,4,FALSE)))),0,IF(AND(OR(VRAGENLIJST!$D$4=dropdowns!$B$5,VRAGENLIJST!$D$4=dropdowns!$C$5),Liquiditeit!F3&gt;IF(VRAGENLIJST!$H$21="",0,IFERROR(VLOOKUP(VRAGENLIJST!$H$21,dropdowns!$B$14:$F$21,5,FALSE),VLOOKUP(VRAGENLIJST!$H$21,dropdowns!$C$14:$F$21,4,FALSE)))),0,0))</f>
        <v>0</v>
      </c>
      <c r="G42" s="318">
        <f>IF(OR(VRAGENLIJST!$D$4=dropdowns!$B$6,VRAGENLIJST!$D$4=dropdowns!$C$6),0,IF(AND(OR(VRAGENLIJST!$D$4=dropdowns!$B$4,VRAGENLIJST!$D$4=dropdowns!$C$4),Liquiditeit!G3&lt;=IF(VRAGENLIJST!$H$21="",0,IFERROR(VLOOKUP(VRAGENLIJST!$H$21,dropdowns!$B$14:$F$21,5,FALSE),VLOOKUP(VRAGENLIJST!$H$21,dropdowns!$C$14:$F$21,4,FALSE)))),VRAGENLIJST!$H$66,IF(AND(OR(VRAGENLIJST!$D$4=dropdowns!$B$4,VRAGENLIJST!$D$4=dropdowns!$C$4),Liquiditeit!G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IF(AND(OR(VRAGENLIJST!$D$4=dropdowns!$B$5,VRAGENLIJST!$D$4=dropdowns!$C$5),Liquiditeit!G3&lt;=IF(VRAGENLIJST!$H$21="",0,IFERROR(VLOOKUP(VRAGENLIJST!$H$21,dropdowns!$B$14:$F$21,5,FALSE),VLOOKUP(VRAGENLIJST!$H$21,dropdowns!$C$14:$F$21,4,FALSE)))),VRAGENLIJST!$H$66,IF(AND(OR(VRAGENLIJST!$D$4=dropdowns!$B$5,VRAGENLIJST!$D$4=dropdowns!$C$5),Liquiditeit!G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0)))))+IF(AND(OR(VRAGENLIJST!$D$4=dropdowns!$B$5,VRAGENLIJST!$D$4=dropdowns!$C$5),Liquiditeit!G3&lt;=IF(VRAGENLIJST!$H$21="",0,IFERROR(VLOOKUP(VRAGENLIJST!$H$21,dropdowns!$B$14:$F$21,5,FALSE),VLOOKUP(VRAGENLIJST!$H$21,dropdowns!$C$14:$F$21,4,FALSE)))),0,IF(AND(OR(VRAGENLIJST!$D$4=dropdowns!$B$5,VRAGENLIJST!$D$4=dropdowns!$C$5),Liquiditeit!G3&gt;IF(VRAGENLIJST!$H$21="",0,IFERROR(VLOOKUP(VRAGENLIJST!$H$21,dropdowns!$B$14:$F$21,5,FALSE),VLOOKUP(VRAGENLIJST!$H$21,dropdowns!$C$14:$F$21,4,FALSE)))),0,0))</f>
        <v>0</v>
      </c>
      <c r="H42" s="318">
        <f>IF(OR(VRAGENLIJST!$D$4=dropdowns!$B$6,VRAGENLIJST!$D$4=dropdowns!$C$6),0,IF(AND(OR(VRAGENLIJST!$D$4=dropdowns!$B$4,VRAGENLIJST!$D$4=dropdowns!$C$4),Liquiditeit!H3&lt;=IF(VRAGENLIJST!$H$21="",0,IFERROR(VLOOKUP(VRAGENLIJST!$H$21,dropdowns!$B$14:$F$21,5,FALSE),VLOOKUP(VRAGENLIJST!$H$21,dropdowns!$C$14:$F$21,4,FALSE)))),VRAGENLIJST!$H$66,IF(AND(OR(VRAGENLIJST!$D$4=dropdowns!$B$4,VRAGENLIJST!$D$4=dropdowns!$C$4),Liquiditeit!H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IF(AND(OR(VRAGENLIJST!$D$4=dropdowns!$B$5,VRAGENLIJST!$D$4=dropdowns!$C$5),Liquiditeit!H3&lt;=IF(VRAGENLIJST!$H$21="",0,IFERROR(VLOOKUP(VRAGENLIJST!$H$21,dropdowns!$B$14:$F$21,5,FALSE),VLOOKUP(VRAGENLIJST!$H$21,dropdowns!$C$14:$F$21,4,FALSE)))),VRAGENLIJST!$H$66,IF(AND(OR(VRAGENLIJST!$D$4=dropdowns!$B$5,VRAGENLIJST!$D$4=dropdowns!$C$5),Liquiditeit!H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0)))))+IF(AND(OR(VRAGENLIJST!$D$4=dropdowns!$B$5,VRAGENLIJST!$D$4=dropdowns!$C$5),Liquiditeit!H3&lt;=IF(VRAGENLIJST!$H$21="",0,IFERROR(VLOOKUP(VRAGENLIJST!$H$21,dropdowns!$B$14:$F$21,5,FALSE),VLOOKUP(VRAGENLIJST!$H$21,dropdowns!$C$14:$F$21,4,FALSE)))),0,IF(AND(OR(VRAGENLIJST!$D$4=dropdowns!$B$5,VRAGENLIJST!$D$4=dropdowns!$C$5),Liquiditeit!H3&gt;IF(VRAGENLIJST!$H$21="",0,IFERROR(VLOOKUP(VRAGENLIJST!$H$21,dropdowns!$B$14:$F$21,5,FALSE),VLOOKUP(VRAGENLIJST!$H$21,dropdowns!$C$14:$F$21,4,FALSE)))),0,0))</f>
        <v>0</v>
      </c>
      <c r="I42" s="318">
        <f>IF(OR(VRAGENLIJST!$D$4=dropdowns!$B$6,VRAGENLIJST!$D$4=dropdowns!$C$6),0,IF(AND(OR(VRAGENLIJST!$D$4=dropdowns!$B$4,VRAGENLIJST!$D$4=dropdowns!$C$4),Liquiditeit!I3&lt;=IF(VRAGENLIJST!$H$21="",0,IFERROR(VLOOKUP(VRAGENLIJST!$H$21,dropdowns!$B$14:$F$21,5,FALSE),VLOOKUP(VRAGENLIJST!$H$21,dropdowns!$C$14:$F$21,4,FALSE)))),VRAGENLIJST!$H$66,IF(AND(OR(VRAGENLIJST!$D$4=dropdowns!$B$4,VRAGENLIJST!$D$4=dropdowns!$C$4),Liquiditeit!I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IF(AND(OR(VRAGENLIJST!$D$4=dropdowns!$B$5,VRAGENLIJST!$D$4=dropdowns!$C$5),Liquiditeit!I3&lt;=IF(VRAGENLIJST!$H$21="",0,IFERROR(VLOOKUP(VRAGENLIJST!$H$21,dropdowns!$B$14:$F$21,5,FALSE),VLOOKUP(VRAGENLIJST!$H$21,dropdowns!$C$14:$F$21,4,FALSE)))),VRAGENLIJST!$H$66,IF(AND(OR(VRAGENLIJST!$D$4=dropdowns!$B$5,VRAGENLIJST!$D$4=dropdowns!$C$5),Liquiditeit!I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0)))))+IF(AND(OR(VRAGENLIJST!$D$4=dropdowns!$B$5,VRAGENLIJST!$D$4=dropdowns!$C$5),Liquiditeit!I3&lt;=IF(VRAGENLIJST!$H$21="",0,IFERROR(VLOOKUP(VRAGENLIJST!$H$21,dropdowns!$B$14:$F$21,5,FALSE),VLOOKUP(VRAGENLIJST!$H$21,dropdowns!$C$14:$F$21,4,FALSE)))),0,IF(AND(OR(VRAGENLIJST!$D$4=dropdowns!$B$5,VRAGENLIJST!$D$4=dropdowns!$C$5),Liquiditeit!I3&gt;IF(VRAGENLIJST!$H$21="",0,IFERROR(VLOOKUP(VRAGENLIJST!$H$21,dropdowns!$B$14:$F$21,5,FALSE),VLOOKUP(VRAGENLIJST!$H$21,dropdowns!$C$14:$F$21,4,FALSE)))),0,0))</f>
        <v>0</v>
      </c>
      <c r="J42" s="318">
        <f>IF(OR(VRAGENLIJST!$D$4=dropdowns!$B$6,VRAGENLIJST!$D$4=dropdowns!$C$6),0,IF(AND(OR(VRAGENLIJST!$D$4=dropdowns!$B$4,VRAGENLIJST!$D$4=dropdowns!$C$4),Liquiditeit!J3&lt;=IF(VRAGENLIJST!$H$21="",0,IFERROR(VLOOKUP(VRAGENLIJST!$H$21,dropdowns!$B$14:$F$21,5,FALSE),VLOOKUP(VRAGENLIJST!$H$21,dropdowns!$C$14:$F$21,4,FALSE)))),VRAGENLIJST!$H$66,IF(AND(OR(VRAGENLIJST!$D$4=dropdowns!$B$4,VRAGENLIJST!$D$4=dropdowns!$C$4),Liquiditeit!J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IF(AND(OR(VRAGENLIJST!$D$4=dropdowns!$B$5,VRAGENLIJST!$D$4=dropdowns!$C$5),Liquiditeit!J3&lt;=IF(VRAGENLIJST!$H$21="",0,IFERROR(VLOOKUP(VRAGENLIJST!$H$21,dropdowns!$B$14:$F$21,5,FALSE),VLOOKUP(VRAGENLIJST!$H$21,dropdowns!$C$14:$F$21,4,FALSE)))),VRAGENLIJST!$H$66,IF(AND(OR(VRAGENLIJST!$D$4=dropdowns!$B$5,VRAGENLIJST!$D$4=dropdowns!$C$5),Liquiditeit!J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0)))))+IF(AND(OR(VRAGENLIJST!$D$4=dropdowns!$B$5,VRAGENLIJST!$D$4=dropdowns!$C$5),Liquiditeit!J3&lt;=IF(VRAGENLIJST!$H$21="",0,IFERROR(VLOOKUP(VRAGENLIJST!$H$21,dropdowns!$B$14:$F$21,5,FALSE),VLOOKUP(VRAGENLIJST!$H$21,dropdowns!$C$14:$F$21,4,FALSE)))),0,IF(AND(OR(VRAGENLIJST!$D$4=dropdowns!$B$5,VRAGENLIJST!$D$4=dropdowns!$C$5),Liquiditeit!J3&gt;IF(VRAGENLIJST!$H$21="",0,IFERROR(VLOOKUP(VRAGENLIJST!$H$21,dropdowns!$B$14:$F$21,5,FALSE),VLOOKUP(VRAGENLIJST!$H$21,dropdowns!$C$14:$F$21,4,FALSE)))),0,0))</f>
        <v>0</v>
      </c>
      <c r="K42" s="318">
        <f>IF(OR(VRAGENLIJST!$D$4=dropdowns!$B$6,VRAGENLIJST!$D$4=dropdowns!$C$6),0,IF(AND(OR(VRAGENLIJST!$D$4=dropdowns!$B$4,VRAGENLIJST!$D$4=dropdowns!$C$4),Liquiditeit!K3&lt;=IF(VRAGENLIJST!$H$21="",0,IFERROR(VLOOKUP(VRAGENLIJST!$H$21,dropdowns!$B$14:$F$21,5,FALSE),VLOOKUP(VRAGENLIJST!$H$21,dropdowns!$C$14:$F$21,4,FALSE)))),VRAGENLIJST!$H$66,IF(AND(OR(VRAGENLIJST!$D$4=dropdowns!$B$4,VRAGENLIJST!$D$4=dropdowns!$C$4),Liquiditeit!K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IF(AND(OR(VRAGENLIJST!$D$4=dropdowns!$B$5,VRAGENLIJST!$D$4=dropdowns!$C$5),Liquiditeit!K3&lt;=IF(VRAGENLIJST!$H$21="",0,IFERROR(VLOOKUP(VRAGENLIJST!$H$21,dropdowns!$B$14:$F$21,5,FALSE),VLOOKUP(VRAGENLIJST!$H$21,dropdowns!$C$14:$F$21,4,FALSE)))),VRAGENLIJST!$H$66,IF(AND(OR(VRAGENLIJST!$D$4=dropdowns!$B$5,VRAGENLIJST!$D$4=dropdowns!$C$5),Liquiditeit!K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0)))))+IF(AND(OR(VRAGENLIJST!$D$4=dropdowns!$B$5,VRAGENLIJST!$D$4=dropdowns!$C$5),Liquiditeit!K3&lt;=IF(VRAGENLIJST!$H$21="",0,IFERROR(VLOOKUP(VRAGENLIJST!$H$21,dropdowns!$B$14:$F$21,5,FALSE),VLOOKUP(VRAGENLIJST!$H$21,dropdowns!$C$14:$F$21,4,FALSE)))),0,IF(AND(OR(VRAGENLIJST!$D$4=dropdowns!$B$5,VRAGENLIJST!$D$4=dropdowns!$C$5),Liquiditeit!K3&gt;IF(VRAGENLIJST!$H$21="",0,IFERROR(VLOOKUP(VRAGENLIJST!$H$21,dropdowns!$B$14:$F$21,5,FALSE),VLOOKUP(VRAGENLIJST!$H$21,dropdowns!$C$14:$F$21,4,FALSE)))),0,0))</f>
        <v>0</v>
      </c>
      <c r="L42" s="318">
        <f>IF(OR(VRAGENLIJST!$D$4=dropdowns!$B$6,VRAGENLIJST!$D$4=dropdowns!$C$6),0,IF(AND(OR(VRAGENLIJST!$D$4=dropdowns!$B$4,VRAGENLIJST!$D$4=dropdowns!$C$4),Liquiditeit!L3&lt;=IF(VRAGENLIJST!$H$21="",0,IFERROR(VLOOKUP(VRAGENLIJST!$H$21,dropdowns!$B$14:$F$21,5,FALSE),VLOOKUP(VRAGENLIJST!$H$21,dropdowns!$C$14:$F$21,4,FALSE)))),VRAGENLIJST!$H$66,IF(AND(OR(VRAGENLIJST!$D$4=dropdowns!$B$4,VRAGENLIJST!$D$4=dropdowns!$C$4),Liquiditeit!L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IF(AND(OR(VRAGENLIJST!$D$4=dropdowns!$B$5,VRAGENLIJST!$D$4=dropdowns!$C$5),Liquiditeit!L3&lt;=IF(VRAGENLIJST!$H$21="",0,IFERROR(VLOOKUP(VRAGENLIJST!$H$21,dropdowns!$B$14:$F$21,5,FALSE),VLOOKUP(VRAGENLIJST!$H$21,dropdowns!$C$14:$F$21,4,FALSE)))),VRAGENLIJST!$H$66,IF(AND(OR(VRAGENLIJST!$D$4=dropdowns!$B$5,VRAGENLIJST!$D$4=dropdowns!$C$5),Liquiditeit!L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0)))))+IF(AND(OR(VRAGENLIJST!$D$4=dropdowns!$B$5,VRAGENLIJST!$D$4=dropdowns!$C$5),Liquiditeit!L3&lt;=IF(VRAGENLIJST!$H$21="",0,IFERROR(VLOOKUP(VRAGENLIJST!$H$21,dropdowns!$B$14:$F$21,5,FALSE),VLOOKUP(VRAGENLIJST!$H$21,dropdowns!$C$14:$F$21,4,FALSE)))),0,IF(AND(OR(VRAGENLIJST!$D$4=dropdowns!$B$5,VRAGENLIJST!$D$4=dropdowns!$C$5),Liquiditeit!L3&gt;IF(VRAGENLIJST!$H$21="",0,IFERROR(VLOOKUP(VRAGENLIJST!$H$21,dropdowns!$B$14:$F$21,5,FALSE),VLOOKUP(VRAGENLIJST!$H$21,dropdowns!$C$14:$F$21,4,FALSE)))),0,0))</f>
        <v>0</v>
      </c>
      <c r="M42" s="318">
        <f>IF(OR(VRAGENLIJST!$D$4=dropdowns!$B$6,VRAGENLIJST!$D$4=dropdowns!$C$6),0,IF(AND(OR(VRAGENLIJST!$D$4=dropdowns!$B$4,VRAGENLIJST!$D$4=dropdowns!$C$4),Liquiditeit!M3&lt;=IF(VRAGENLIJST!$H$21="",0,IFERROR(VLOOKUP(VRAGENLIJST!$H$21,dropdowns!$B$14:$F$21,5,FALSE),VLOOKUP(VRAGENLIJST!$H$21,dropdowns!$C$14:$F$21,4,FALSE)))),VRAGENLIJST!$H$66,IF(AND(OR(VRAGENLIJST!$D$4=dropdowns!$B$4,VRAGENLIJST!$D$4=dropdowns!$C$4),Liquiditeit!M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IF(AND(OR(VRAGENLIJST!$D$4=dropdowns!$B$5,VRAGENLIJST!$D$4=dropdowns!$C$5),Liquiditeit!M3&lt;=IF(VRAGENLIJST!$H$21="",0,IFERROR(VLOOKUP(VRAGENLIJST!$H$21,dropdowns!$B$14:$F$21,5,FALSE),VLOOKUP(VRAGENLIJST!$H$21,dropdowns!$C$14:$F$21,4,FALSE)))),VRAGENLIJST!$H$66,IF(AND(OR(VRAGENLIJST!$D$4=dropdowns!$B$5,VRAGENLIJST!$D$4=dropdowns!$C$5),Liquiditeit!M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0)))))+IF(AND(OR(VRAGENLIJST!$D$4=dropdowns!$B$5,VRAGENLIJST!$D$4=dropdowns!$C$5),Liquiditeit!M3&lt;=IF(VRAGENLIJST!$H$21="",0,IFERROR(VLOOKUP(VRAGENLIJST!$H$21,dropdowns!$B$14:$F$21,5,FALSE),VLOOKUP(VRAGENLIJST!$H$21,dropdowns!$C$14:$F$21,4,FALSE)))),0,IF(AND(OR(VRAGENLIJST!$D$4=dropdowns!$B$5,VRAGENLIJST!$D$4=dropdowns!$C$5),Liquiditeit!M3&gt;IF(VRAGENLIJST!$H$21="",0,IFERROR(VLOOKUP(VRAGENLIJST!$H$21,dropdowns!$B$14:$F$21,5,FALSE),VLOOKUP(VRAGENLIJST!$H$21,dropdowns!$C$14:$F$21,4,FALSE)))),0,0))</f>
        <v>0</v>
      </c>
      <c r="N42" s="318">
        <f>IF(OR(VRAGENLIJST!$D$4=dropdowns!$B$6,VRAGENLIJST!$D$4=dropdowns!$C$6),0,IF(AND(OR(VRAGENLIJST!$D$4=dropdowns!$B$4,VRAGENLIJST!$D$4=dropdowns!$C$4),Liquiditeit!N3&lt;=IF(VRAGENLIJST!$H$21="",0,IFERROR(VLOOKUP(VRAGENLIJST!$H$21,dropdowns!$B$14:$F$21,5,FALSE),VLOOKUP(VRAGENLIJST!$H$21,dropdowns!$C$14:$F$21,4,FALSE)))),VRAGENLIJST!$H$66,IF(AND(OR(VRAGENLIJST!$D$4=dropdowns!$B$4,VRAGENLIJST!$D$4=dropdowns!$C$4),Liquiditeit!N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IF(AND(OR(VRAGENLIJST!$D$4=dropdowns!$B$5,VRAGENLIJST!$D$4=dropdowns!$C$5),Liquiditeit!N3&lt;=IF(VRAGENLIJST!$H$21="",0,IFERROR(VLOOKUP(VRAGENLIJST!$H$21,dropdowns!$B$14:$F$21,5,FALSE),VLOOKUP(VRAGENLIJST!$H$21,dropdowns!$C$14:$F$21,4,FALSE)))),VRAGENLIJST!$H$66,IF(AND(OR(VRAGENLIJST!$D$4=dropdowns!$B$5,VRAGENLIJST!$D$4=dropdowns!$C$5),Liquiditeit!N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0)))))+IF(AND(OR(VRAGENLIJST!$D$4=dropdowns!$B$5,VRAGENLIJST!$D$4=dropdowns!$C$5),Liquiditeit!N3&lt;=IF(VRAGENLIJST!$H$21="",0,IFERROR(VLOOKUP(VRAGENLIJST!$H$21,dropdowns!$B$14:$F$21,5,FALSE),VLOOKUP(VRAGENLIJST!$H$21,dropdowns!$C$14:$F$21,4,FALSE)))),0,IF(AND(OR(VRAGENLIJST!$D$4=dropdowns!$B$5,VRAGENLIJST!$D$4=dropdowns!$C$5),Liquiditeit!N3&gt;IF(VRAGENLIJST!$H$21="",0,IFERROR(VLOOKUP(VRAGENLIJST!$H$21,dropdowns!$B$14:$F$21,5,FALSE),VLOOKUP(VRAGENLIJST!$H$21,dropdowns!$C$14:$F$21,4,FALSE)))),0,0))</f>
        <v>0</v>
      </c>
      <c r="O42" s="318">
        <f>IF(OR(VRAGENLIJST!$D$4=dropdowns!$B$6,VRAGENLIJST!$D$4=dropdowns!$C$6),0,IF(AND(OR(VRAGENLIJST!$D$4=dropdowns!$B$4,VRAGENLIJST!$D$4=dropdowns!$C$4),Liquiditeit!O3&lt;=IF(VRAGENLIJST!$H$21="",0,IFERROR(VLOOKUP(VRAGENLIJST!$H$21,dropdowns!$B$14:$F$21,5,FALSE),VLOOKUP(VRAGENLIJST!$H$21,dropdowns!$C$14:$F$21,4,FALSE)))),VRAGENLIJST!$H$66,IF(AND(OR(VRAGENLIJST!$D$4=dropdowns!$B$4,VRAGENLIJST!$D$4=dropdowns!$C$4),Liquiditeit!O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IF(AND(OR(VRAGENLIJST!$D$4=dropdowns!$B$5,VRAGENLIJST!$D$4=dropdowns!$C$5),Liquiditeit!O3&lt;=IF(VRAGENLIJST!$H$21="",0,IFERROR(VLOOKUP(VRAGENLIJST!$H$21,dropdowns!$B$14:$F$21,5,FALSE),VLOOKUP(VRAGENLIJST!$H$21,dropdowns!$C$14:$F$21,4,FALSE)))),VRAGENLIJST!$H$66,IF(AND(OR(VRAGENLIJST!$D$4=dropdowns!$B$5,VRAGENLIJST!$D$4=dropdowns!$C$5),Liquiditeit!O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0)))))+IF(AND(OR(VRAGENLIJST!$D$4=dropdowns!$B$5,VRAGENLIJST!$D$4=dropdowns!$C$5),Liquiditeit!O3&lt;=IF(VRAGENLIJST!$H$21="",0,IFERROR(VLOOKUP(VRAGENLIJST!$H$21,dropdowns!$B$14:$F$21,5,FALSE),VLOOKUP(VRAGENLIJST!$H$21,dropdowns!$C$14:$F$21,4,FALSE)))),0,IF(AND(OR(VRAGENLIJST!$D$4=dropdowns!$B$5,VRAGENLIJST!$D$4=dropdowns!$C$5),Liquiditeit!O3&gt;IF(VRAGENLIJST!$H$21="",0,IFERROR(VLOOKUP(VRAGENLIJST!$H$21,dropdowns!$B$14:$F$21,5,FALSE),VLOOKUP(VRAGENLIJST!$H$21,dropdowns!$C$14:$F$21,4,FALSE)))),0,0))</f>
        <v>0</v>
      </c>
      <c r="P42" s="320">
        <f>SUM(D42:O42)</f>
        <v>0</v>
      </c>
      <c r="Q42" s="318">
        <f>IF(OR(VRAGENLIJST!$D$4=dropdowns!$B$6,VRAGENLIJST!$D$4=dropdowns!$C$6),0,IF(AND(OR(VRAGENLIJST!$D$4=dropdowns!$B$4,VRAGENLIJST!$D$4=dropdowns!$C$4),Liquiditeit!Q3&lt;=IF(VRAGENLIJST!$H$21="",0,IFERROR(VLOOKUP(VRAGENLIJST!$H$21,dropdowns!$B$14:$F$21,5,FALSE),VLOOKUP(VRAGENLIJST!$H$21,dropdowns!$C$14:$F$21,4,FALSE)))),VRAGENLIJST!$H$66,IF(AND(OR(VRAGENLIJST!$D$4=dropdowns!$B$4,VRAGENLIJST!$D$4=dropdowns!$C$4),Liquiditeit!Q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IF(AND(OR(VRAGENLIJST!$D$4=dropdowns!$B$5,VRAGENLIJST!$D$4=dropdowns!$C$5),Liquiditeit!Q3&lt;=IF(VRAGENLIJST!$H$21="",0,IFERROR(VLOOKUP(VRAGENLIJST!$H$21,dropdowns!$B$14:$F$21,5,FALSE),VLOOKUP(VRAGENLIJST!$H$21,dropdowns!$C$14:$F$21,4,FALSE)))),VRAGENLIJST!$H$66,IF(AND(OR(VRAGENLIJST!$D$4=dropdowns!$B$5,VRAGENLIJST!$D$4=dropdowns!$C$5),Liquiditeit!Q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0)))))+IF(AND(OR(VRAGENLIJST!$D$4=dropdowns!$B$5,VRAGENLIJST!$D$4=dropdowns!$C$5),Liquiditeit!Q3&lt;=IF(VRAGENLIJST!$H$21="",0,IFERROR(VLOOKUP(VRAGENLIJST!$H$21,dropdowns!$B$14:$F$21,5,FALSE),VLOOKUP(VRAGENLIJST!$H$21,dropdowns!$C$14:$F$21,4,FALSE)))),0,IF(AND(OR(VRAGENLIJST!$D$4=dropdowns!$B$5,VRAGENLIJST!$D$4=dropdowns!$C$5),Liquiditeit!Q3&gt;IF(VRAGENLIJST!$H$21="",0,IFERROR(VLOOKUP(VRAGENLIJST!$H$21,dropdowns!$B$14:$F$21,5,FALSE),VLOOKUP(VRAGENLIJST!$H$21,dropdowns!$C$14:$F$21,4,FALSE)))),0,0))</f>
        <v>0</v>
      </c>
      <c r="R42" s="318">
        <f>IF(OR(VRAGENLIJST!$D$4=dropdowns!$B$6,VRAGENLIJST!$D$4=dropdowns!$C$6),0,IF(AND(OR(VRAGENLIJST!$D$4=dropdowns!$B$4,VRAGENLIJST!$D$4=dropdowns!$C$4),Liquiditeit!R3&lt;=IF(VRAGENLIJST!$H$21="",0,IFERROR(VLOOKUP(VRAGENLIJST!$H$21,dropdowns!$B$14:$F$21,5,FALSE),VLOOKUP(VRAGENLIJST!$H$21,dropdowns!$C$14:$F$21,4,FALSE)))),VRAGENLIJST!$H$66,IF(AND(OR(VRAGENLIJST!$D$4=dropdowns!$B$4,VRAGENLIJST!$D$4=dropdowns!$C$4),Liquiditeit!R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IF(AND(OR(VRAGENLIJST!$D$4=dropdowns!$B$5,VRAGENLIJST!$D$4=dropdowns!$C$5),Liquiditeit!R3&lt;=IF(VRAGENLIJST!$H$21="",0,IFERROR(VLOOKUP(VRAGENLIJST!$H$21,dropdowns!$B$14:$F$21,5,FALSE),VLOOKUP(VRAGENLIJST!$H$21,dropdowns!$C$14:$F$21,4,FALSE)))),VRAGENLIJST!$H$66,IF(AND(OR(VRAGENLIJST!$D$4=dropdowns!$B$5,VRAGENLIJST!$D$4=dropdowns!$C$5),Liquiditeit!R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0)))))+IF(AND(OR(VRAGENLIJST!$D$4=dropdowns!$B$5,VRAGENLIJST!$D$4=dropdowns!$C$5),Liquiditeit!R3&lt;=IF(VRAGENLIJST!$H$21="",0,IFERROR(VLOOKUP(VRAGENLIJST!$H$21,dropdowns!$B$14:$F$21,5,FALSE),VLOOKUP(VRAGENLIJST!$H$21,dropdowns!$C$14:$F$21,4,FALSE)))),0,IF(AND(OR(VRAGENLIJST!$D$4=dropdowns!$B$5,VRAGENLIJST!$D$4=dropdowns!$C$5),Liquiditeit!R3&gt;IF(VRAGENLIJST!$H$21="",0,IFERROR(VLOOKUP(VRAGENLIJST!$H$21,dropdowns!$B$14:$F$21,5,FALSE),VLOOKUP(VRAGENLIJST!$H$21,dropdowns!$C$14:$F$21,4,FALSE)))),0,0))</f>
        <v>0</v>
      </c>
      <c r="S42" s="318">
        <f>IF(OR(VRAGENLIJST!$D$4=dropdowns!$B$6,VRAGENLIJST!$D$4=dropdowns!$C$6),0,IF(AND(OR(VRAGENLIJST!$D$4=dropdowns!$B$4,VRAGENLIJST!$D$4=dropdowns!$C$4),Liquiditeit!S3&lt;=IF(VRAGENLIJST!$H$21="",0,IFERROR(VLOOKUP(VRAGENLIJST!$H$21,dropdowns!$B$14:$F$21,5,FALSE),VLOOKUP(VRAGENLIJST!$H$21,dropdowns!$C$14:$F$21,4,FALSE)))),VRAGENLIJST!$H$66,IF(AND(OR(VRAGENLIJST!$D$4=dropdowns!$B$4,VRAGENLIJST!$D$4=dropdowns!$C$4),Liquiditeit!S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IF(AND(OR(VRAGENLIJST!$D$4=dropdowns!$B$5,VRAGENLIJST!$D$4=dropdowns!$C$5),Liquiditeit!S3&lt;=IF(VRAGENLIJST!$H$21="",0,IFERROR(VLOOKUP(VRAGENLIJST!$H$21,dropdowns!$B$14:$F$21,5,FALSE),VLOOKUP(VRAGENLIJST!$H$21,dropdowns!$C$14:$F$21,4,FALSE)))),VRAGENLIJST!$H$66,IF(AND(OR(VRAGENLIJST!$D$4=dropdowns!$B$5,VRAGENLIJST!$D$4=dropdowns!$C$5),Liquiditeit!S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0)))))+IF(AND(OR(VRAGENLIJST!$D$4=dropdowns!$B$5,VRAGENLIJST!$D$4=dropdowns!$C$5),Liquiditeit!S3&lt;=IF(VRAGENLIJST!$H$21="",0,IFERROR(VLOOKUP(VRAGENLIJST!$H$21,dropdowns!$B$14:$F$21,5,FALSE),VLOOKUP(VRAGENLIJST!$H$21,dropdowns!$C$14:$F$21,4,FALSE)))),0,IF(AND(OR(VRAGENLIJST!$D$4=dropdowns!$B$5,VRAGENLIJST!$D$4=dropdowns!$C$5),Liquiditeit!S3&gt;IF(VRAGENLIJST!$H$21="",0,IFERROR(VLOOKUP(VRAGENLIJST!$H$21,dropdowns!$B$14:$F$21,5,FALSE),VLOOKUP(VRAGENLIJST!$H$21,dropdowns!$C$14:$F$21,4,FALSE)))),0,0))</f>
        <v>0</v>
      </c>
      <c r="T42" s="318">
        <f>IF(OR(VRAGENLIJST!$D$4=dropdowns!$B$6,VRAGENLIJST!$D$4=dropdowns!$C$6),0,IF(AND(OR(VRAGENLIJST!$D$4=dropdowns!$B$4,VRAGENLIJST!$D$4=dropdowns!$C$4),Liquiditeit!T3&lt;=IF(VRAGENLIJST!$H$21="",0,IFERROR(VLOOKUP(VRAGENLIJST!$H$21,dropdowns!$B$14:$F$21,5,FALSE),VLOOKUP(VRAGENLIJST!$H$21,dropdowns!$C$14:$F$21,4,FALSE)))),VRAGENLIJST!$H$66,IF(AND(OR(VRAGENLIJST!$D$4=dropdowns!$B$4,VRAGENLIJST!$D$4=dropdowns!$C$4),Liquiditeit!T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IF(AND(OR(VRAGENLIJST!$D$4=dropdowns!$B$5,VRAGENLIJST!$D$4=dropdowns!$C$5),Liquiditeit!T3&lt;=IF(VRAGENLIJST!$H$21="",0,IFERROR(VLOOKUP(VRAGENLIJST!$H$21,dropdowns!$B$14:$F$21,5,FALSE),VLOOKUP(VRAGENLIJST!$H$21,dropdowns!$C$14:$F$21,4,FALSE)))),VRAGENLIJST!$H$66,IF(AND(OR(VRAGENLIJST!$D$4=dropdowns!$B$5,VRAGENLIJST!$D$4=dropdowns!$C$5),Liquiditeit!T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0)))))+IF(AND(OR(VRAGENLIJST!$D$4=dropdowns!$B$5,VRAGENLIJST!$D$4=dropdowns!$C$5),Liquiditeit!T3&lt;=IF(VRAGENLIJST!$H$21="",0,IFERROR(VLOOKUP(VRAGENLIJST!$H$21,dropdowns!$B$14:$F$21,5,FALSE),VLOOKUP(VRAGENLIJST!$H$21,dropdowns!$C$14:$F$21,4,FALSE)))),0,IF(AND(OR(VRAGENLIJST!$D$4=dropdowns!$B$5,VRAGENLIJST!$D$4=dropdowns!$C$5),Liquiditeit!T3&gt;IF(VRAGENLIJST!$H$21="",0,IFERROR(VLOOKUP(VRAGENLIJST!$H$21,dropdowns!$B$14:$F$21,5,FALSE),VLOOKUP(VRAGENLIJST!$H$21,dropdowns!$C$14:$F$21,4,FALSE)))),0,0))</f>
        <v>0</v>
      </c>
      <c r="U42" s="318">
        <f>IF(OR(VRAGENLIJST!$D$4=dropdowns!$B$6,VRAGENLIJST!$D$4=dropdowns!$C$6),0,IF(AND(OR(VRAGENLIJST!$D$4=dropdowns!$B$4,VRAGENLIJST!$D$4=dropdowns!$C$4),Liquiditeit!U3&lt;=IF(VRAGENLIJST!$H$21="",0,IFERROR(VLOOKUP(VRAGENLIJST!$H$21,dropdowns!$B$14:$F$21,5,FALSE),VLOOKUP(VRAGENLIJST!$H$21,dropdowns!$C$14:$F$21,4,FALSE)))),VRAGENLIJST!$H$66,IF(AND(OR(VRAGENLIJST!$D$4=dropdowns!$B$4,VRAGENLIJST!$D$4=dropdowns!$C$4),Liquiditeit!U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IF(AND(OR(VRAGENLIJST!$D$4=dropdowns!$B$5,VRAGENLIJST!$D$4=dropdowns!$C$5),Liquiditeit!U3&lt;=IF(VRAGENLIJST!$H$21="",0,IFERROR(VLOOKUP(VRAGENLIJST!$H$21,dropdowns!$B$14:$F$21,5,FALSE),VLOOKUP(VRAGENLIJST!$H$21,dropdowns!$C$14:$F$21,4,FALSE)))),VRAGENLIJST!$H$66,IF(AND(OR(VRAGENLIJST!$D$4=dropdowns!$B$5,VRAGENLIJST!$D$4=dropdowns!$C$5),Liquiditeit!U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0)))))+IF(AND(OR(VRAGENLIJST!$D$4=dropdowns!$B$5,VRAGENLIJST!$D$4=dropdowns!$C$5),Liquiditeit!U3&lt;=IF(VRAGENLIJST!$H$21="",0,IFERROR(VLOOKUP(VRAGENLIJST!$H$21,dropdowns!$B$14:$F$21,5,FALSE),VLOOKUP(VRAGENLIJST!$H$21,dropdowns!$C$14:$F$21,4,FALSE)))),0,IF(AND(OR(VRAGENLIJST!$D$4=dropdowns!$B$5,VRAGENLIJST!$D$4=dropdowns!$C$5),Liquiditeit!U3&gt;IF(VRAGENLIJST!$H$21="",0,IFERROR(VLOOKUP(VRAGENLIJST!$H$21,dropdowns!$B$14:$F$21,5,FALSE),VLOOKUP(VRAGENLIJST!$H$21,dropdowns!$C$14:$F$21,4,FALSE)))),0,0))</f>
        <v>0</v>
      </c>
      <c r="V42" s="318">
        <f>IF(OR(VRAGENLIJST!$D$4=dropdowns!$B$6,VRAGENLIJST!$D$4=dropdowns!$C$6),0,IF(AND(OR(VRAGENLIJST!$D$4=dropdowns!$B$4,VRAGENLIJST!$D$4=dropdowns!$C$4),Liquiditeit!V3&lt;=IF(VRAGENLIJST!$H$21="",0,IFERROR(VLOOKUP(VRAGENLIJST!$H$21,dropdowns!$B$14:$F$21,5,FALSE),VLOOKUP(VRAGENLIJST!$H$21,dropdowns!$C$14:$F$21,4,FALSE)))),VRAGENLIJST!$H$66,IF(AND(OR(VRAGENLIJST!$D$4=dropdowns!$B$4,VRAGENLIJST!$D$4=dropdowns!$C$4),Liquiditeit!V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IF(AND(OR(VRAGENLIJST!$D$4=dropdowns!$B$5,VRAGENLIJST!$D$4=dropdowns!$C$5),Liquiditeit!V3&lt;=IF(VRAGENLIJST!$H$21="",0,IFERROR(VLOOKUP(VRAGENLIJST!$H$21,dropdowns!$B$14:$F$21,5,FALSE),VLOOKUP(VRAGENLIJST!$H$21,dropdowns!$C$14:$F$21,4,FALSE)))),VRAGENLIJST!$H$66,IF(AND(OR(VRAGENLIJST!$D$4=dropdowns!$B$5,VRAGENLIJST!$D$4=dropdowns!$C$5),Liquiditeit!V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0)))))+IF(AND(OR(VRAGENLIJST!$D$4=dropdowns!$B$5,VRAGENLIJST!$D$4=dropdowns!$C$5),Liquiditeit!V3&lt;=IF(VRAGENLIJST!$H$21="",0,IFERROR(VLOOKUP(VRAGENLIJST!$H$21,dropdowns!$B$14:$F$21,5,FALSE),VLOOKUP(VRAGENLIJST!$H$21,dropdowns!$C$14:$F$21,4,FALSE)))),0,IF(AND(OR(VRAGENLIJST!$D$4=dropdowns!$B$5,VRAGENLIJST!$D$4=dropdowns!$C$5),Liquiditeit!V3&gt;IF(VRAGENLIJST!$H$21="",0,IFERROR(VLOOKUP(VRAGENLIJST!$H$21,dropdowns!$B$14:$F$21,5,FALSE),VLOOKUP(VRAGENLIJST!$H$21,dropdowns!$C$14:$F$21,4,FALSE)))),0,0))</f>
        <v>0</v>
      </c>
      <c r="W42" s="318">
        <f>IF(OR(VRAGENLIJST!$D$4=dropdowns!$B$6,VRAGENLIJST!$D$4=dropdowns!$C$6),0,IF(AND(OR(VRAGENLIJST!$D$4=dropdowns!$B$4,VRAGENLIJST!$D$4=dropdowns!$C$4),Liquiditeit!W3&lt;=IF(VRAGENLIJST!$H$21="",0,IFERROR(VLOOKUP(VRAGENLIJST!$H$21,dropdowns!$B$14:$F$21,5,FALSE),VLOOKUP(VRAGENLIJST!$H$21,dropdowns!$C$14:$F$21,4,FALSE)))),VRAGENLIJST!$H$66,IF(AND(OR(VRAGENLIJST!$D$4=dropdowns!$B$4,VRAGENLIJST!$D$4=dropdowns!$C$4),Liquiditeit!W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IF(AND(OR(VRAGENLIJST!$D$4=dropdowns!$B$5,VRAGENLIJST!$D$4=dropdowns!$C$5),Liquiditeit!W3&lt;=IF(VRAGENLIJST!$H$21="",0,IFERROR(VLOOKUP(VRAGENLIJST!$H$21,dropdowns!$B$14:$F$21,5,FALSE),VLOOKUP(VRAGENLIJST!$H$21,dropdowns!$C$14:$F$21,4,FALSE)))),VRAGENLIJST!$H$66,IF(AND(OR(VRAGENLIJST!$D$4=dropdowns!$B$5,VRAGENLIJST!$D$4=dropdowns!$C$5),Liquiditeit!W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0)))))+IF(AND(OR(VRAGENLIJST!$D$4=dropdowns!$B$5,VRAGENLIJST!$D$4=dropdowns!$C$5),Liquiditeit!W3&lt;=IF(VRAGENLIJST!$H$21="",0,IFERROR(VLOOKUP(VRAGENLIJST!$H$21,dropdowns!$B$14:$F$21,5,FALSE),VLOOKUP(VRAGENLIJST!$H$21,dropdowns!$C$14:$F$21,4,FALSE)))),0,IF(AND(OR(VRAGENLIJST!$D$4=dropdowns!$B$5,VRAGENLIJST!$D$4=dropdowns!$C$5),Liquiditeit!W3&gt;IF(VRAGENLIJST!$H$21="",0,IFERROR(VLOOKUP(VRAGENLIJST!$H$21,dropdowns!$B$14:$F$21,5,FALSE),VLOOKUP(VRAGENLIJST!$H$21,dropdowns!$C$14:$F$21,4,FALSE)))),0,0))</f>
        <v>0</v>
      </c>
      <c r="X42" s="318">
        <f>IF(OR(VRAGENLIJST!$D$4=dropdowns!$B$6,VRAGENLIJST!$D$4=dropdowns!$C$6),0,IF(AND(OR(VRAGENLIJST!$D$4=dropdowns!$B$4,VRAGENLIJST!$D$4=dropdowns!$C$4),Liquiditeit!X3&lt;=IF(VRAGENLIJST!$H$21="",0,IFERROR(VLOOKUP(VRAGENLIJST!$H$21,dropdowns!$B$14:$F$21,5,FALSE),VLOOKUP(VRAGENLIJST!$H$21,dropdowns!$C$14:$F$21,4,FALSE)))),VRAGENLIJST!$H$66,IF(AND(OR(VRAGENLIJST!$D$4=dropdowns!$B$4,VRAGENLIJST!$D$4=dropdowns!$C$4),Liquiditeit!X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IF(AND(OR(VRAGENLIJST!$D$4=dropdowns!$B$5,VRAGENLIJST!$D$4=dropdowns!$C$5),Liquiditeit!X3&lt;=IF(VRAGENLIJST!$H$21="",0,IFERROR(VLOOKUP(VRAGENLIJST!$H$21,dropdowns!$B$14:$F$21,5,FALSE),VLOOKUP(VRAGENLIJST!$H$21,dropdowns!$C$14:$F$21,4,FALSE)))),VRAGENLIJST!$H$66,IF(AND(OR(VRAGENLIJST!$D$4=dropdowns!$B$5,VRAGENLIJST!$D$4=dropdowns!$C$5),Liquiditeit!X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0)))))+IF(AND(OR(VRAGENLIJST!$D$4=dropdowns!$B$5,VRAGENLIJST!$D$4=dropdowns!$C$5),Liquiditeit!X3&lt;=IF(VRAGENLIJST!$H$21="",0,IFERROR(VLOOKUP(VRAGENLIJST!$H$21,dropdowns!$B$14:$F$21,5,FALSE),VLOOKUP(VRAGENLIJST!$H$21,dropdowns!$C$14:$F$21,4,FALSE)))),0,IF(AND(OR(VRAGENLIJST!$D$4=dropdowns!$B$5,VRAGENLIJST!$D$4=dropdowns!$C$5),Liquiditeit!X3&gt;IF(VRAGENLIJST!$H$21="",0,IFERROR(VLOOKUP(VRAGENLIJST!$H$21,dropdowns!$B$14:$F$21,5,FALSE),VLOOKUP(VRAGENLIJST!$H$21,dropdowns!$C$14:$F$21,4,FALSE)))),0,0))</f>
        <v>0</v>
      </c>
      <c r="Y42" s="318">
        <f>IF(OR(VRAGENLIJST!$D$4=dropdowns!$B$6,VRAGENLIJST!$D$4=dropdowns!$C$6),0,IF(AND(OR(VRAGENLIJST!$D$4=dropdowns!$B$4,VRAGENLIJST!$D$4=dropdowns!$C$4),Liquiditeit!Y3&lt;=IF(VRAGENLIJST!$H$21="",0,IFERROR(VLOOKUP(VRAGENLIJST!$H$21,dropdowns!$B$14:$F$21,5,FALSE),VLOOKUP(VRAGENLIJST!$H$21,dropdowns!$C$14:$F$21,4,FALSE)))),VRAGENLIJST!$H$66,IF(AND(OR(VRAGENLIJST!$D$4=dropdowns!$B$4,VRAGENLIJST!$D$4=dropdowns!$C$4),Liquiditeit!Y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IF(AND(OR(VRAGENLIJST!$D$4=dropdowns!$B$5,VRAGENLIJST!$D$4=dropdowns!$C$5),Liquiditeit!Y3&lt;=IF(VRAGENLIJST!$H$21="",0,IFERROR(VLOOKUP(VRAGENLIJST!$H$21,dropdowns!$B$14:$F$21,5,FALSE),VLOOKUP(VRAGENLIJST!$H$21,dropdowns!$C$14:$F$21,4,FALSE)))),VRAGENLIJST!$H$66,IF(AND(OR(VRAGENLIJST!$D$4=dropdowns!$B$5,VRAGENLIJST!$D$4=dropdowns!$C$5),Liquiditeit!Y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0)))))+IF(AND(OR(VRAGENLIJST!$D$4=dropdowns!$B$5,VRAGENLIJST!$D$4=dropdowns!$C$5),Liquiditeit!Y3&lt;=IF(VRAGENLIJST!$H$21="",0,IFERROR(VLOOKUP(VRAGENLIJST!$H$21,dropdowns!$B$14:$F$21,5,FALSE),VLOOKUP(VRAGENLIJST!$H$21,dropdowns!$C$14:$F$21,4,FALSE)))),0,IF(AND(OR(VRAGENLIJST!$D$4=dropdowns!$B$5,VRAGENLIJST!$D$4=dropdowns!$C$5),Liquiditeit!Y3&gt;IF(VRAGENLIJST!$H$21="",0,IFERROR(VLOOKUP(VRAGENLIJST!$H$21,dropdowns!$B$14:$F$21,5,FALSE),VLOOKUP(VRAGENLIJST!$H$21,dropdowns!$C$14:$F$21,4,FALSE)))),0,0))</f>
        <v>0</v>
      </c>
      <c r="Z42" s="318">
        <f>IF(OR(VRAGENLIJST!$D$4=dropdowns!$B$6,VRAGENLIJST!$D$4=dropdowns!$C$6),0,IF(AND(OR(VRAGENLIJST!$D$4=dropdowns!$B$4,VRAGENLIJST!$D$4=dropdowns!$C$4),Liquiditeit!Z3&lt;=IF(VRAGENLIJST!$H$21="",0,IFERROR(VLOOKUP(VRAGENLIJST!$H$21,dropdowns!$B$14:$F$21,5,FALSE),VLOOKUP(VRAGENLIJST!$H$21,dropdowns!$C$14:$F$21,4,FALSE)))),VRAGENLIJST!$H$66,IF(AND(OR(VRAGENLIJST!$D$4=dropdowns!$B$4,VRAGENLIJST!$D$4=dropdowns!$C$4),Liquiditeit!Z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IF(AND(OR(VRAGENLIJST!$D$4=dropdowns!$B$5,VRAGENLIJST!$D$4=dropdowns!$C$5),Liquiditeit!Z3&lt;=IF(VRAGENLIJST!$H$21="",0,IFERROR(VLOOKUP(VRAGENLIJST!$H$21,dropdowns!$B$14:$F$21,5,FALSE),VLOOKUP(VRAGENLIJST!$H$21,dropdowns!$C$14:$F$21,4,FALSE)))),VRAGENLIJST!$H$66,IF(AND(OR(VRAGENLIJST!$D$4=dropdowns!$B$5,VRAGENLIJST!$D$4=dropdowns!$C$5),Liquiditeit!Z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0)))))+IF(AND(OR(VRAGENLIJST!$D$4=dropdowns!$B$5,VRAGENLIJST!$D$4=dropdowns!$C$5),Liquiditeit!Z3&lt;=IF(VRAGENLIJST!$H$21="",0,IFERROR(VLOOKUP(VRAGENLIJST!$H$21,dropdowns!$B$14:$F$21,5,FALSE),VLOOKUP(VRAGENLIJST!$H$21,dropdowns!$C$14:$F$21,4,FALSE)))),0,IF(AND(OR(VRAGENLIJST!$D$4=dropdowns!$B$5,VRAGENLIJST!$D$4=dropdowns!$C$5),Liquiditeit!Z3&gt;IF(VRAGENLIJST!$H$21="",0,IFERROR(VLOOKUP(VRAGENLIJST!$H$21,dropdowns!$B$14:$F$21,5,FALSE),VLOOKUP(VRAGENLIJST!$H$21,dropdowns!$C$14:$F$21,4,FALSE)))),0,0))</f>
        <v>0</v>
      </c>
      <c r="AA42" s="318">
        <f>IF(OR(VRAGENLIJST!$D$4=dropdowns!$B$6,VRAGENLIJST!$D$4=dropdowns!$C$6),0,IF(AND(OR(VRAGENLIJST!$D$4=dropdowns!$B$4,VRAGENLIJST!$D$4=dropdowns!$C$4),Liquiditeit!AA3&lt;=IF(VRAGENLIJST!$H$21="",0,IFERROR(VLOOKUP(VRAGENLIJST!$H$21,dropdowns!$B$14:$F$21,5,FALSE),VLOOKUP(VRAGENLIJST!$H$21,dropdowns!$C$14:$F$21,4,FALSE)))),VRAGENLIJST!$H$66,IF(AND(OR(VRAGENLIJST!$D$4=dropdowns!$B$4,VRAGENLIJST!$D$4=dropdowns!$C$4),Liquiditeit!AA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IF(AND(OR(VRAGENLIJST!$D$4=dropdowns!$B$5,VRAGENLIJST!$D$4=dropdowns!$C$5),Liquiditeit!AA3&lt;=IF(VRAGENLIJST!$H$21="",0,IFERROR(VLOOKUP(VRAGENLIJST!$H$21,dropdowns!$B$14:$F$21,5,FALSE),VLOOKUP(VRAGENLIJST!$H$21,dropdowns!$C$14:$F$21,4,FALSE)))),VRAGENLIJST!$H$66,IF(AND(OR(VRAGENLIJST!$D$4=dropdowns!$B$5,VRAGENLIJST!$D$4=dropdowns!$C$5),Liquiditeit!AA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0)))))+IF(AND(OR(VRAGENLIJST!$D$4=dropdowns!$B$5,VRAGENLIJST!$D$4=dropdowns!$C$5),Liquiditeit!AA3&lt;=IF(VRAGENLIJST!$H$21="",0,IFERROR(VLOOKUP(VRAGENLIJST!$H$21,dropdowns!$B$14:$F$21,5,FALSE),VLOOKUP(VRAGENLIJST!$H$21,dropdowns!$C$14:$F$21,4,FALSE)))),0,IF(AND(OR(VRAGENLIJST!$D$4=dropdowns!$B$5,VRAGENLIJST!$D$4=dropdowns!$C$5),Liquiditeit!AA3&gt;IF(VRAGENLIJST!$H$21="",0,IFERROR(VLOOKUP(VRAGENLIJST!$H$21,dropdowns!$B$14:$F$21,5,FALSE),VLOOKUP(VRAGENLIJST!$H$21,dropdowns!$C$14:$F$21,4,FALSE)))),0,0))</f>
        <v>0</v>
      </c>
      <c r="AB42" s="318">
        <f>IF(OR(VRAGENLIJST!$D$4=dropdowns!$B$6,VRAGENLIJST!$D$4=dropdowns!$C$6),0,IF(AND(OR(VRAGENLIJST!$D$4=dropdowns!$B$4,VRAGENLIJST!$D$4=dropdowns!$C$4),Liquiditeit!AB3&lt;=IF(VRAGENLIJST!$H$21="",0,IFERROR(VLOOKUP(VRAGENLIJST!$H$21,dropdowns!$B$14:$F$21,5,FALSE),VLOOKUP(VRAGENLIJST!$H$21,dropdowns!$C$14:$F$21,4,FALSE)))),VRAGENLIJST!$H$66,IF(AND(OR(VRAGENLIJST!$D$4=dropdowns!$B$4,VRAGENLIJST!$D$4=dropdowns!$C$4),Liquiditeit!AB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IF(AND(OR(VRAGENLIJST!$D$4=dropdowns!$B$5,VRAGENLIJST!$D$4=dropdowns!$C$5),Liquiditeit!AB3&lt;=IF(VRAGENLIJST!$H$21="",0,IFERROR(VLOOKUP(VRAGENLIJST!$H$21,dropdowns!$B$14:$F$21,5,FALSE),VLOOKUP(VRAGENLIJST!$H$21,dropdowns!$C$14:$F$21,4,FALSE)))),VRAGENLIJST!$H$66,IF(AND(OR(VRAGENLIJST!$D$4=dropdowns!$B$5,VRAGENLIJST!$D$4=dropdowns!$C$5),Liquiditeit!AB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0)))))+IF(AND(OR(VRAGENLIJST!$D$4=dropdowns!$B$5,VRAGENLIJST!$D$4=dropdowns!$C$5),Liquiditeit!AB3&lt;=IF(VRAGENLIJST!$H$21="",0,IFERROR(VLOOKUP(VRAGENLIJST!$H$21,dropdowns!$B$14:$F$21,5,FALSE),VLOOKUP(VRAGENLIJST!$H$21,dropdowns!$C$14:$F$21,4,FALSE)))),0,IF(AND(OR(VRAGENLIJST!$D$4=dropdowns!$B$5,VRAGENLIJST!$D$4=dropdowns!$C$5),Liquiditeit!AB3&gt;IF(VRAGENLIJST!$H$21="",0,IFERROR(VLOOKUP(VRAGENLIJST!$H$21,dropdowns!$B$14:$F$21,5,FALSE),VLOOKUP(VRAGENLIJST!$H$21,dropdowns!$C$14:$F$21,4,FALSE)))),0,0))</f>
        <v>0</v>
      </c>
      <c r="AC42" s="320">
        <f>SUM(Q42:AB42)</f>
        <v>0</v>
      </c>
      <c r="AD42" s="318">
        <f>IF(OR(VRAGENLIJST!$D$4=dropdowns!$B$6,VRAGENLIJST!$D$4=dropdowns!$C$6),0,IF(AND(OR(VRAGENLIJST!$D$4=dropdowns!$B$4,VRAGENLIJST!$D$4=dropdowns!$C$4),Liquiditeit!AD3&lt;=IF(VRAGENLIJST!$H$21="",0,IFERROR(VLOOKUP(VRAGENLIJST!$H$21,dropdowns!$B$14:$F$21,5,FALSE),VLOOKUP(VRAGENLIJST!$H$21,dropdowns!$C$14:$F$21,4,FALSE)))),VRAGENLIJST!$H$66,IF(AND(OR(VRAGENLIJST!$D$4=dropdowns!$B$4,VRAGENLIJST!$D$4=dropdowns!$C$4),Liquiditeit!AD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IF(AND(OR(VRAGENLIJST!$D$4=dropdowns!$B$5,VRAGENLIJST!$D$4=dropdowns!$C$5),Liquiditeit!AD3&lt;=IF(VRAGENLIJST!$H$21="",0,IFERROR(VLOOKUP(VRAGENLIJST!$H$21,dropdowns!$B$14:$F$21,5,FALSE),VLOOKUP(VRAGENLIJST!$H$21,dropdowns!$C$14:$F$21,4,FALSE)))),VRAGENLIJST!$H$66,IF(AND(OR(VRAGENLIJST!$D$4=dropdowns!$B$5,VRAGENLIJST!$D$4=dropdowns!$C$5),Liquiditeit!AD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0)))))+IF(AND(OR(VRAGENLIJST!$D$4=dropdowns!$B$5,VRAGENLIJST!$D$4=dropdowns!$C$5),Liquiditeit!AD3&lt;=IF(VRAGENLIJST!$H$21="",0,IFERROR(VLOOKUP(VRAGENLIJST!$H$21,dropdowns!$B$14:$F$21,5,FALSE),VLOOKUP(VRAGENLIJST!$H$21,dropdowns!$C$14:$F$21,4,FALSE)))),0,IF(AND(OR(VRAGENLIJST!$D$4=dropdowns!$B$5,VRAGENLIJST!$D$4=dropdowns!$C$5),Liquiditeit!AD3&gt;IF(VRAGENLIJST!$H$21="",0,IFERROR(VLOOKUP(VRAGENLIJST!$H$21,dropdowns!$B$14:$F$21,5,FALSE),VLOOKUP(VRAGENLIJST!$H$21,dropdowns!$C$14:$F$21,4,FALSE)))),0,0))</f>
        <v>0</v>
      </c>
      <c r="AE42" s="318">
        <f>IF(OR(VRAGENLIJST!$D$4=dropdowns!$B$6,VRAGENLIJST!$D$4=dropdowns!$C$6),0,IF(AND(OR(VRAGENLIJST!$D$4=dropdowns!$B$4,VRAGENLIJST!$D$4=dropdowns!$C$4),Liquiditeit!AE3&lt;=IF(VRAGENLIJST!$H$21="",0,IFERROR(VLOOKUP(VRAGENLIJST!$H$21,dropdowns!$B$14:$F$21,5,FALSE),VLOOKUP(VRAGENLIJST!$H$21,dropdowns!$C$14:$F$21,4,FALSE)))),VRAGENLIJST!$H$66,IF(AND(OR(VRAGENLIJST!$D$4=dropdowns!$B$4,VRAGENLIJST!$D$4=dropdowns!$C$4),Liquiditeit!AE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IF(AND(OR(VRAGENLIJST!$D$4=dropdowns!$B$5,VRAGENLIJST!$D$4=dropdowns!$C$5),Liquiditeit!AE3&lt;=IF(VRAGENLIJST!$H$21="",0,IFERROR(VLOOKUP(VRAGENLIJST!$H$21,dropdowns!$B$14:$F$21,5,FALSE),VLOOKUP(VRAGENLIJST!$H$21,dropdowns!$C$14:$F$21,4,FALSE)))),VRAGENLIJST!$H$66,IF(AND(OR(VRAGENLIJST!$D$4=dropdowns!$B$5,VRAGENLIJST!$D$4=dropdowns!$C$5),Liquiditeit!AE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0)))))+IF(AND(OR(VRAGENLIJST!$D$4=dropdowns!$B$5,VRAGENLIJST!$D$4=dropdowns!$C$5),Liquiditeit!AE3&lt;=IF(VRAGENLIJST!$H$21="",0,IFERROR(VLOOKUP(VRAGENLIJST!$H$21,dropdowns!$B$14:$F$21,5,FALSE),VLOOKUP(VRAGENLIJST!$H$21,dropdowns!$C$14:$F$21,4,FALSE)))),0,IF(AND(OR(VRAGENLIJST!$D$4=dropdowns!$B$5,VRAGENLIJST!$D$4=dropdowns!$C$5),Liquiditeit!AE3&gt;IF(VRAGENLIJST!$H$21="",0,IFERROR(VLOOKUP(VRAGENLIJST!$H$21,dropdowns!$B$14:$F$21,5,FALSE),VLOOKUP(VRAGENLIJST!$H$21,dropdowns!$C$14:$F$21,4,FALSE)))),0,0))</f>
        <v>0</v>
      </c>
      <c r="AF42" s="318">
        <f>IF(OR(VRAGENLIJST!$D$4=dropdowns!$B$6,VRAGENLIJST!$D$4=dropdowns!$C$6),0,IF(AND(OR(VRAGENLIJST!$D$4=dropdowns!$B$4,VRAGENLIJST!$D$4=dropdowns!$C$4),Liquiditeit!AF3&lt;=IF(VRAGENLIJST!$H$21="",0,IFERROR(VLOOKUP(VRAGENLIJST!$H$21,dropdowns!$B$14:$F$21,5,FALSE),VLOOKUP(VRAGENLIJST!$H$21,dropdowns!$C$14:$F$21,4,FALSE)))),VRAGENLIJST!$H$66,IF(AND(OR(VRAGENLIJST!$D$4=dropdowns!$B$4,VRAGENLIJST!$D$4=dropdowns!$C$4),Liquiditeit!AF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IF(AND(OR(VRAGENLIJST!$D$4=dropdowns!$B$5,VRAGENLIJST!$D$4=dropdowns!$C$5),Liquiditeit!AF3&lt;=IF(VRAGENLIJST!$H$21="",0,IFERROR(VLOOKUP(VRAGENLIJST!$H$21,dropdowns!$B$14:$F$21,5,FALSE),VLOOKUP(VRAGENLIJST!$H$21,dropdowns!$C$14:$F$21,4,FALSE)))),VRAGENLIJST!$H$66,IF(AND(OR(VRAGENLIJST!$D$4=dropdowns!$B$5,VRAGENLIJST!$D$4=dropdowns!$C$5),Liquiditeit!AF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0)))))+IF(AND(OR(VRAGENLIJST!$D$4=dropdowns!$B$5,VRAGENLIJST!$D$4=dropdowns!$C$5),Liquiditeit!AF3&lt;=IF(VRAGENLIJST!$H$21="",0,IFERROR(VLOOKUP(VRAGENLIJST!$H$21,dropdowns!$B$14:$F$21,5,FALSE),VLOOKUP(VRAGENLIJST!$H$21,dropdowns!$C$14:$F$21,4,FALSE)))),0,IF(AND(OR(VRAGENLIJST!$D$4=dropdowns!$B$5,VRAGENLIJST!$D$4=dropdowns!$C$5),Liquiditeit!AF3&gt;IF(VRAGENLIJST!$H$21="",0,IFERROR(VLOOKUP(VRAGENLIJST!$H$21,dropdowns!$B$14:$F$21,5,FALSE),VLOOKUP(VRAGENLIJST!$H$21,dropdowns!$C$14:$F$21,4,FALSE)))),0,0))</f>
        <v>0</v>
      </c>
      <c r="AG42" s="318">
        <f>IF(OR(VRAGENLIJST!$D$4=dropdowns!$B$6,VRAGENLIJST!$D$4=dropdowns!$C$6),0,IF(AND(OR(VRAGENLIJST!$D$4=dropdowns!$B$4,VRAGENLIJST!$D$4=dropdowns!$C$4),Liquiditeit!AG3&lt;=IF(VRAGENLIJST!$H$21="",0,IFERROR(VLOOKUP(VRAGENLIJST!$H$21,dropdowns!$B$14:$F$21,5,FALSE),VLOOKUP(VRAGENLIJST!$H$21,dropdowns!$C$14:$F$21,4,FALSE)))),VRAGENLIJST!$H$66,IF(AND(OR(VRAGENLIJST!$D$4=dropdowns!$B$4,VRAGENLIJST!$D$4=dropdowns!$C$4),Liquiditeit!AG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IF(AND(OR(VRAGENLIJST!$D$4=dropdowns!$B$5,VRAGENLIJST!$D$4=dropdowns!$C$5),Liquiditeit!AG3&lt;=IF(VRAGENLIJST!$H$21="",0,IFERROR(VLOOKUP(VRAGENLIJST!$H$21,dropdowns!$B$14:$F$21,5,FALSE),VLOOKUP(VRAGENLIJST!$H$21,dropdowns!$C$14:$F$21,4,FALSE)))),VRAGENLIJST!$H$66,IF(AND(OR(VRAGENLIJST!$D$4=dropdowns!$B$5,VRAGENLIJST!$D$4=dropdowns!$C$5),Liquiditeit!AG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0)))))+IF(AND(OR(VRAGENLIJST!$D$4=dropdowns!$B$5,VRAGENLIJST!$D$4=dropdowns!$C$5),Liquiditeit!AG3&lt;=IF(VRAGENLIJST!$H$21="",0,IFERROR(VLOOKUP(VRAGENLIJST!$H$21,dropdowns!$B$14:$F$21,5,FALSE),VLOOKUP(VRAGENLIJST!$H$21,dropdowns!$C$14:$F$21,4,FALSE)))),0,IF(AND(OR(VRAGENLIJST!$D$4=dropdowns!$B$5,VRAGENLIJST!$D$4=dropdowns!$C$5),Liquiditeit!AG3&gt;IF(VRAGENLIJST!$H$21="",0,IFERROR(VLOOKUP(VRAGENLIJST!$H$21,dropdowns!$B$14:$F$21,5,FALSE),VLOOKUP(VRAGENLIJST!$H$21,dropdowns!$C$14:$F$21,4,FALSE)))),0,0))</f>
        <v>0</v>
      </c>
      <c r="AH42" s="318">
        <f>IF(OR(VRAGENLIJST!$D$4=dropdowns!$B$6,VRAGENLIJST!$D$4=dropdowns!$C$6),0,IF(AND(OR(VRAGENLIJST!$D$4=dropdowns!$B$4,VRAGENLIJST!$D$4=dropdowns!$C$4),Liquiditeit!AH3&lt;=IF(VRAGENLIJST!$H$21="",0,IFERROR(VLOOKUP(VRAGENLIJST!$H$21,dropdowns!$B$14:$F$21,5,FALSE),VLOOKUP(VRAGENLIJST!$H$21,dropdowns!$C$14:$F$21,4,FALSE)))),VRAGENLIJST!$H$66,IF(AND(OR(VRAGENLIJST!$D$4=dropdowns!$B$4,VRAGENLIJST!$D$4=dropdowns!$C$4),Liquiditeit!AH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IF(AND(OR(VRAGENLIJST!$D$4=dropdowns!$B$5,VRAGENLIJST!$D$4=dropdowns!$C$5),Liquiditeit!AH3&lt;=IF(VRAGENLIJST!$H$21="",0,IFERROR(VLOOKUP(VRAGENLIJST!$H$21,dropdowns!$B$14:$F$21,5,FALSE),VLOOKUP(VRAGENLIJST!$H$21,dropdowns!$C$14:$F$21,4,FALSE)))),VRAGENLIJST!$H$66,IF(AND(OR(VRAGENLIJST!$D$4=dropdowns!$B$5,VRAGENLIJST!$D$4=dropdowns!$C$5),Liquiditeit!AH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0)))))+IF(AND(OR(VRAGENLIJST!$D$4=dropdowns!$B$5,VRAGENLIJST!$D$4=dropdowns!$C$5),Liquiditeit!AH3&lt;=IF(VRAGENLIJST!$H$21="",0,IFERROR(VLOOKUP(VRAGENLIJST!$H$21,dropdowns!$B$14:$F$21,5,FALSE),VLOOKUP(VRAGENLIJST!$H$21,dropdowns!$C$14:$F$21,4,FALSE)))),0,IF(AND(OR(VRAGENLIJST!$D$4=dropdowns!$B$5,VRAGENLIJST!$D$4=dropdowns!$C$5),Liquiditeit!AH3&gt;IF(VRAGENLIJST!$H$21="",0,IFERROR(VLOOKUP(VRAGENLIJST!$H$21,dropdowns!$B$14:$F$21,5,FALSE),VLOOKUP(VRAGENLIJST!$H$21,dropdowns!$C$14:$F$21,4,FALSE)))),0,0))</f>
        <v>0</v>
      </c>
      <c r="AI42" s="318">
        <f>IF(OR(VRAGENLIJST!$D$4=dropdowns!$B$6,VRAGENLIJST!$D$4=dropdowns!$C$6),0,IF(AND(OR(VRAGENLIJST!$D$4=dropdowns!$B$4,VRAGENLIJST!$D$4=dropdowns!$C$4),Liquiditeit!AI3&lt;=IF(VRAGENLIJST!$H$21="",0,IFERROR(VLOOKUP(VRAGENLIJST!$H$21,dropdowns!$B$14:$F$21,5,FALSE),VLOOKUP(VRAGENLIJST!$H$21,dropdowns!$C$14:$F$21,4,FALSE)))),VRAGENLIJST!$H$66,IF(AND(OR(VRAGENLIJST!$D$4=dropdowns!$B$4,VRAGENLIJST!$D$4=dropdowns!$C$4),Liquiditeit!AI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IF(AND(OR(VRAGENLIJST!$D$4=dropdowns!$B$5,VRAGENLIJST!$D$4=dropdowns!$C$5),Liquiditeit!AI3&lt;=IF(VRAGENLIJST!$H$21="",0,IFERROR(VLOOKUP(VRAGENLIJST!$H$21,dropdowns!$B$14:$F$21,5,FALSE),VLOOKUP(VRAGENLIJST!$H$21,dropdowns!$C$14:$F$21,4,FALSE)))),VRAGENLIJST!$H$66,IF(AND(OR(VRAGENLIJST!$D$4=dropdowns!$B$5,VRAGENLIJST!$D$4=dropdowns!$C$5),Liquiditeit!AI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0)))))+IF(AND(OR(VRAGENLIJST!$D$4=dropdowns!$B$5,VRAGENLIJST!$D$4=dropdowns!$C$5),Liquiditeit!AI3&lt;=IF(VRAGENLIJST!$H$21="",0,IFERROR(VLOOKUP(VRAGENLIJST!$H$21,dropdowns!$B$14:$F$21,5,FALSE),VLOOKUP(VRAGENLIJST!$H$21,dropdowns!$C$14:$F$21,4,FALSE)))),0,IF(AND(OR(VRAGENLIJST!$D$4=dropdowns!$B$5,VRAGENLIJST!$D$4=dropdowns!$C$5),Liquiditeit!AI3&gt;IF(VRAGENLIJST!$H$21="",0,IFERROR(VLOOKUP(VRAGENLIJST!$H$21,dropdowns!$B$14:$F$21,5,FALSE),VLOOKUP(VRAGENLIJST!$H$21,dropdowns!$C$14:$F$21,4,FALSE)))),0,0))</f>
        <v>0</v>
      </c>
      <c r="AJ42" s="318">
        <f>IF(OR(VRAGENLIJST!$D$4=dropdowns!$B$6,VRAGENLIJST!$D$4=dropdowns!$C$6),0,IF(AND(OR(VRAGENLIJST!$D$4=dropdowns!$B$4,VRAGENLIJST!$D$4=dropdowns!$C$4),Liquiditeit!AJ3&lt;=IF(VRAGENLIJST!$H$21="",0,IFERROR(VLOOKUP(VRAGENLIJST!$H$21,dropdowns!$B$14:$F$21,5,FALSE),VLOOKUP(VRAGENLIJST!$H$21,dropdowns!$C$14:$F$21,4,FALSE)))),VRAGENLIJST!$H$66,IF(AND(OR(VRAGENLIJST!$D$4=dropdowns!$B$4,VRAGENLIJST!$D$4=dropdowns!$C$4),Liquiditeit!AJ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IF(AND(OR(VRAGENLIJST!$D$4=dropdowns!$B$5,VRAGENLIJST!$D$4=dropdowns!$C$5),Liquiditeit!AJ3&lt;=IF(VRAGENLIJST!$H$21="",0,IFERROR(VLOOKUP(VRAGENLIJST!$H$21,dropdowns!$B$14:$F$21,5,FALSE),VLOOKUP(VRAGENLIJST!$H$21,dropdowns!$C$14:$F$21,4,FALSE)))),VRAGENLIJST!$H$66,IF(AND(OR(VRAGENLIJST!$D$4=dropdowns!$B$5,VRAGENLIJST!$D$4=dropdowns!$C$5),Liquiditeit!AJ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0)))))+IF(AND(OR(VRAGENLIJST!$D$4=dropdowns!$B$5,VRAGENLIJST!$D$4=dropdowns!$C$5),Liquiditeit!AJ3&lt;=IF(VRAGENLIJST!$H$21="",0,IFERROR(VLOOKUP(VRAGENLIJST!$H$21,dropdowns!$B$14:$F$21,5,FALSE),VLOOKUP(VRAGENLIJST!$H$21,dropdowns!$C$14:$F$21,4,FALSE)))),0,IF(AND(OR(VRAGENLIJST!$D$4=dropdowns!$B$5,VRAGENLIJST!$D$4=dropdowns!$C$5),Liquiditeit!AJ3&gt;IF(VRAGENLIJST!$H$21="",0,IFERROR(VLOOKUP(VRAGENLIJST!$H$21,dropdowns!$B$14:$F$21,5,FALSE),VLOOKUP(VRAGENLIJST!$H$21,dropdowns!$C$14:$F$21,4,FALSE)))),0,0))</f>
        <v>0</v>
      </c>
      <c r="AK42" s="318">
        <f>IF(OR(VRAGENLIJST!$D$4=dropdowns!$B$6,VRAGENLIJST!$D$4=dropdowns!$C$6),0,IF(AND(OR(VRAGENLIJST!$D$4=dropdowns!$B$4,VRAGENLIJST!$D$4=dropdowns!$C$4),Liquiditeit!AK3&lt;=IF(VRAGENLIJST!$H$21="",0,IFERROR(VLOOKUP(VRAGENLIJST!$H$21,dropdowns!$B$14:$F$21,5,FALSE),VLOOKUP(VRAGENLIJST!$H$21,dropdowns!$C$14:$F$21,4,FALSE)))),VRAGENLIJST!$H$66,IF(AND(OR(VRAGENLIJST!$D$4=dropdowns!$B$4,VRAGENLIJST!$D$4=dropdowns!$C$4),Liquiditeit!AK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IF(AND(OR(VRAGENLIJST!$D$4=dropdowns!$B$5,VRAGENLIJST!$D$4=dropdowns!$C$5),Liquiditeit!AK3&lt;=IF(VRAGENLIJST!$H$21="",0,IFERROR(VLOOKUP(VRAGENLIJST!$H$21,dropdowns!$B$14:$F$21,5,FALSE),VLOOKUP(VRAGENLIJST!$H$21,dropdowns!$C$14:$F$21,4,FALSE)))),VRAGENLIJST!$H$66,IF(AND(OR(VRAGENLIJST!$D$4=dropdowns!$B$5,VRAGENLIJST!$D$4=dropdowns!$C$5),Liquiditeit!AK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0)))))+IF(AND(OR(VRAGENLIJST!$D$4=dropdowns!$B$5,VRAGENLIJST!$D$4=dropdowns!$C$5),Liquiditeit!AK3&lt;=IF(VRAGENLIJST!$H$21="",0,IFERROR(VLOOKUP(VRAGENLIJST!$H$21,dropdowns!$B$14:$F$21,5,FALSE),VLOOKUP(VRAGENLIJST!$H$21,dropdowns!$C$14:$F$21,4,FALSE)))),0,IF(AND(OR(VRAGENLIJST!$D$4=dropdowns!$B$5,VRAGENLIJST!$D$4=dropdowns!$C$5),Liquiditeit!AK3&gt;IF(VRAGENLIJST!$H$21="",0,IFERROR(VLOOKUP(VRAGENLIJST!$H$21,dropdowns!$B$14:$F$21,5,FALSE),VLOOKUP(VRAGENLIJST!$H$21,dropdowns!$C$14:$F$21,4,FALSE)))),0,0))</f>
        <v>0</v>
      </c>
      <c r="AL42" s="318">
        <f>IF(OR(VRAGENLIJST!$D$4=dropdowns!$B$6,VRAGENLIJST!$D$4=dropdowns!$C$6),0,IF(AND(OR(VRAGENLIJST!$D$4=dropdowns!$B$4,VRAGENLIJST!$D$4=dropdowns!$C$4),Liquiditeit!AL3&lt;=IF(VRAGENLIJST!$H$21="",0,IFERROR(VLOOKUP(VRAGENLIJST!$H$21,dropdowns!$B$14:$F$21,5,FALSE),VLOOKUP(VRAGENLIJST!$H$21,dropdowns!$C$14:$F$21,4,FALSE)))),VRAGENLIJST!$H$66,IF(AND(OR(VRAGENLIJST!$D$4=dropdowns!$B$4,VRAGENLIJST!$D$4=dropdowns!$C$4),Liquiditeit!AL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IF(AND(OR(VRAGENLIJST!$D$4=dropdowns!$B$5,VRAGENLIJST!$D$4=dropdowns!$C$5),Liquiditeit!AL3&lt;=IF(VRAGENLIJST!$H$21="",0,IFERROR(VLOOKUP(VRAGENLIJST!$H$21,dropdowns!$B$14:$F$21,5,FALSE),VLOOKUP(VRAGENLIJST!$H$21,dropdowns!$C$14:$F$21,4,FALSE)))),VRAGENLIJST!$H$66,IF(AND(OR(VRAGENLIJST!$D$4=dropdowns!$B$5,VRAGENLIJST!$D$4=dropdowns!$C$5),Liquiditeit!AL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0)))))+IF(AND(OR(VRAGENLIJST!$D$4=dropdowns!$B$5,VRAGENLIJST!$D$4=dropdowns!$C$5),Liquiditeit!AL3&lt;=IF(VRAGENLIJST!$H$21="",0,IFERROR(VLOOKUP(VRAGENLIJST!$H$21,dropdowns!$B$14:$F$21,5,FALSE),VLOOKUP(VRAGENLIJST!$H$21,dropdowns!$C$14:$F$21,4,FALSE)))),0,IF(AND(OR(VRAGENLIJST!$D$4=dropdowns!$B$5,VRAGENLIJST!$D$4=dropdowns!$C$5),Liquiditeit!AL3&gt;IF(VRAGENLIJST!$H$21="",0,IFERROR(VLOOKUP(VRAGENLIJST!$H$21,dropdowns!$B$14:$F$21,5,FALSE),VLOOKUP(VRAGENLIJST!$H$21,dropdowns!$C$14:$F$21,4,FALSE)))),0,0))</f>
        <v>0</v>
      </c>
      <c r="AM42" s="318">
        <f>IF(OR(VRAGENLIJST!$D$4=dropdowns!$B$6,VRAGENLIJST!$D$4=dropdowns!$C$6),0,IF(AND(OR(VRAGENLIJST!$D$4=dropdowns!$B$4,VRAGENLIJST!$D$4=dropdowns!$C$4),Liquiditeit!AM3&lt;=IF(VRAGENLIJST!$H$21="",0,IFERROR(VLOOKUP(VRAGENLIJST!$H$21,dropdowns!$B$14:$F$21,5,FALSE),VLOOKUP(VRAGENLIJST!$H$21,dropdowns!$C$14:$F$21,4,FALSE)))),VRAGENLIJST!$H$66,IF(AND(OR(VRAGENLIJST!$D$4=dropdowns!$B$4,VRAGENLIJST!$D$4=dropdowns!$C$4),Liquiditeit!AM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IF(AND(OR(VRAGENLIJST!$D$4=dropdowns!$B$5,VRAGENLIJST!$D$4=dropdowns!$C$5),Liquiditeit!AM3&lt;=IF(VRAGENLIJST!$H$21="",0,IFERROR(VLOOKUP(VRAGENLIJST!$H$21,dropdowns!$B$14:$F$21,5,FALSE),VLOOKUP(VRAGENLIJST!$H$21,dropdowns!$C$14:$F$21,4,FALSE)))),VRAGENLIJST!$H$66,IF(AND(OR(VRAGENLIJST!$D$4=dropdowns!$B$5,VRAGENLIJST!$D$4=dropdowns!$C$5),Liquiditeit!AM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0)))))+IF(AND(OR(VRAGENLIJST!$D$4=dropdowns!$B$5,VRAGENLIJST!$D$4=dropdowns!$C$5),Liquiditeit!AM3&lt;=IF(VRAGENLIJST!$H$21="",0,IFERROR(VLOOKUP(VRAGENLIJST!$H$21,dropdowns!$B$14:$F$21,5,FALSE),VLOOKUP(VRAGENLIJST!$H$21,dropdowns!$C$14:$F$21,4,FALSE)))),0,IF(AND(OR(VRAGENLIJST!$D$4=dropdowns!$B$5,VRAGENLIJST!$D$4=dropdowns!$C$5),Liquiditeit!AM3&gt;IF(VRAGENLIJST!$H$21="",0,IFERROR(VLOOKUP(VRAGENLIJST!$H$21,dropdowns!$B$14:$F$21,5,FALSE),VLOOKUP(VRAGENLIJST!$H$21,dropdowns!$C$14:$F$21,4,FALSE)))),0,0))</f>
        <v>0</v>
      </c>
      <c r="AN42" s="318">
        <f>IF(OR(VRAGENLIJST!$D$4=dropdowns!$B$6,VRAGENLIJST!$D$4=dropdowns!$C$6),0,IF(AND(OR(VRAGENLIJST!$D$4=dropdowns!$B$4,VRAGENLIJST!$D$4=dropdowns!$C$4),Liquiditeit!AN3&lt;=IF(VRAGENLIJST!$H$21="",0,IFERROR(VLOOKUP(VRAGENLIJST!$H$21,dropdowns!$B$14:$F$21,5,FALSE),VLOOKUP(VRAGENLIJST!$H$21,dropdowns!$C$14:$F$21,4,FALSE)))),VRAGENLIJST!$H$66,IF(AND(OR(VRAGENLIJST!$D$4=dropdowns!$B$4,VRAGENLIJST!$D$4=dropdowns!$C$4),Liquiditeit!AN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IF(AND(OR(VRAGENLIJST!$D$4=dropdowns!$B$5,VRAGENLIJST!$D$4=dropdowns!$C$5),Liquiditeit!AN3&lt;=IF(VRAGENLIJST!$H$21="",0,IFERROR(VLOOKUP(VRAGENLIJST!$H$21,dropdowns!$B$14:$F$21,5,FALSE),VLOOKUP(VRAGENLIJST!$H$21,dropdowns!$C$14:$F$21,4,FALSE)))),VRAGENLIJST!$H$66,IF(AND(OR(VRAGENLIJST!$D$4=dropdowns!$B$5,VRAGENLIJST!$D$4=dropdowns!$C$5),Liquiditeit!AN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0)))))+IF(AND(OR(VRAGENLIJST!$D$4=dropdowns!$B$5,VRAGENLIJST!$D$4=dropdowns!$C$5),Liquiditeit!AN3&lt;=IF(VRAGENLIJST!$H$21="",0,IFERROR(VLOOKUP(VRAGENLIJST!$H$21,dropdowns!$B$14:$F$21,5,FALSE),VLOOKUP(VRAGENLIJST!$H$21,dropdowns!$C$14:$F$21,4,FALSE)))),0,IF(AND(OR(VRAGENLIJST!$D$4=dropdowns!$B$5,VRAGENLIJST!$D$4=dropdowns!$C$5),Liquiditeit!AN3&gt;IF(VRAGENLIJST!$H$21="",0,IFERROR(VLOOKUP(VRAGENLIJST!$H$21,dropdowns!$B$14:$F$21,5,FALSE),VLOOKUP(VRAGENLIJST!$H$21,dropdowns!$C$14:$F$21,4,FALSE)))),0,0))</f>
        <v>0</v>
      </c>
      <c r="AO42" s="318">
        <f>IF(OR(VRAGENLIJST!$D$4=dropdowns!$B$6,VRAGENLIJST!$D$4=dropdowns!$C$6),0,IF(AND(OR(VRAGENLIJST!$D$4=dropdowns!$B$4,VRAGENLIJST!$D$4=dropdowns!$C$4),Liquiditeit!AO3&lt;=IF(VRAGENLIJST!$H$21="",0,IFERROR(VLOOKUP(VRAGENLIJST!$H$21,dropdowns!$B$14:$F$21,5,FALSE),VLOOKUP(VRAGENLIJST!$H$21,dropdowns!$C$14:$F$21,4,FALSE)))),VRAGENLIJST!$H$66,IF(AND(OR(VRAGENLIJST!$D$4=dropdowns!$B$4,VRAGENLIJST!$D$4=dropdowns!$C$4),Liquiditeit!AO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IF(AND(OR(VRAGENLIJST!$D$4=dropdowns!$B$5,VRAGENLIJST!$D$4=dropdowns!$C$5),Liquiditeit!AO3&lt;=IF(VRAGENLIJST!$H$21="",0,IFERROR(VLOOKUP(VRAGENLIJST!$H$21,dropdowns!$B$14:$F$21,5,FALSE),VLOOKUP(VRAGENLIJST!$H$21,dropdowns!$C$14:$F$21,4,FALSE)))),VRAGENLIJST!$H$66,IF(AND(OR(VRAGENLIJST!$D$4=dropdowns!$B$5,VRAGENLIJST!$D$4=dropdowns!$C$5),Liquiditeit!AO3&gt;IF(VRAGENLIJST!$H$21="",0,IFERROR(VLOOKUP(VRAGENLIJST!$H$21,dropdowns!$B$14:$F$21,5,FALSE),VLOOKUP(VRAGENLIJST!$H$21,dropdowns!$C$14:$F$21,4,FALSE)))),IF(SUM(VRAGENLIJST!$H$39:$H$61)-VRAGENLIJST!$H$34+IF(IF(VRAGENLIJST!$H$21="",0,IFERROR(VLOOKUP(VRAGENLIJST!$H$21,dropdowns!$B$14:$F$21,5,FALSE),VLOOKUP(VRAGENLIJST!$H$21,dropdowns!$C$14:$F$21,4,FALSE)))&gt;0,VRAGENLIJST!$H$19,0)&lt;0,0,SUM(VRAGENLIJST!$H$39:$H$61)-VRAGENLIJST!$H$34+IF(IF(VRAGENLIJST!$H$21="",0,IFERROR(VLOOKUP(VRAGENLIJST!$H$21,dropdowns!$B$14:$F$21,5,FALSE),VLOOKUP(VRAGENLIJST!$H$21,dropdowns!$C$14:$F$21,4,FALSE)))&gt;0,VRAGENLIJST!$H$19,0)),0)))))+IF(AND(OR(VRAGENLIJST!$D$4=dropdowns!$B$5,VRAGENLIJST!$D$4=dropdowns!$C$5),Liquiditeit!AO3&lt;=IF(VRAGENLIJST!$H$21="",0,IFERROR(VLOOKUP(VRAGENLIJST!$H$21,dropdowns!$B$14:$F$21,5,FALSE),VLOOKUP(VRAGENLIJST!$H$21,dropdowns!$C$14:$F$21,4,FALSE)))),0,IF(AND(OR(VRAGENLIJST!$D$4=dropdowns!$B$5,VRAGENLIJST!$D$4=dropdowns!$C$5),Liquiditeit!AO3&gt;IF(VRAGENLIJST!$H$21="",0,IFERROR(VLOOKUP(VRAGENLIJST!$H$21,dropdowns!$B$14:$F$21,5,FALSE),VLOOKUP(VRAGENLIJST!$H$21,dropdowns!$C$14:$F$21,4,FALSE)))),0,0))</f>
        <v>0</v>
      </c>
      <c r="AP42" s="320">
        <f>SUM(AD42:AO42)</f>
        <v>0</v>
      </c>
    </row>
    <row r="43" spans="2:42" ht="14.25" customHeight="1" x14ac:dyDescent="0.25">
      <c r="B43" s="317"/>
      <c r="C43" s="317"/>
      <c r="D43" s="317"/>
      <c r="E43" s="317"/>
      <c r="F43" s="317"/>
      <c r="G43" s="317"/>
      <c r="H43" s="317"/>
      <c r="I43" s="317"/>
      <c r="J43" s="317"/>
      <c r="K43" s="317"/>
      <c r="L43" s="317"/>
      <c r="M43" s="317"/>
      <c r="N43" s="317"/>
      <c r="O43" s="317"/>
      <c r="P43" s="325"/>
      <c r="Q43" s="317"/>
      <c r="R43" s="317"/>
      <c r="S43" s="317"/>
      <c r="T43" s="317"/>
      <c r="U43" s="317"/>
      <c r="V43" s="317"/>
      <c r="W43" s="317"/>
      <c r="X43" s="317"/>
      <c r="Y43" s="317"/>
      <c r="Z43" s="317"/>
      <c r="AA43" s="317"/>
      <c r="AB43" s="317"/>
      <c r="AC43" s="325"/>
      <c r="AD43" s="317"/>
      <c r="AE43" s="317"/>
      <c r="AF43" s="317"/>
      <c r="AG43" s="317"/>
      <c r="AH43" s="317"/>
      <c r="AI43" s="317"/>
      <c r="AJ43" s="317"/>
      <c r="AK43" s="317"/>
      <c r="AL43" s="317"/>
      <c r="AM43" s="317"/>
      <c r="AN43" s="317"/>
      <c r="AO43" s="317"/>
      <c r="AP43" s="325"/>
    </row>
    <row r="44" spans="2:42" ht="14.25" customHeight="1" x14ac:dyDescent="0.25">
      <c r="B44" s="322" t="str">
        <f>Vertaling!A301</f>
        <v>Totale uitgaven</v>
      </c>
      <c r="C44" s="323">
        <f>SUM(C19:C42)</f>
        <v>0</v>
      </c>
      <c r="D44" s="323">
        <f ca="1">SUM(D19:D42)-IF(VRAGENLIJST!$D$14="",SUM(Liquiditeit!D38:D39),0)</f>
        <v>0</v>
      </c>
      <c r="E44" s="323">
        <f ca="1">SUM(E19:E42)-IF(VRAGENLIJST!$D$14="",SUM(Liquiditeit!E38:E39),0)</f>
        <v>0</v>
      </c>
      <c r="F44" s="323">
        <f ca="1">SUM(F19:F42)-IF(VRAGENLIJST!$D$14="",SUM(Liquiditeit!F38:F39),0)</f>
        <v>0</v>
      </c>
      <c r="G44" s="323">
        <f ca="1">SUM(G19:G42)-IF(VRAGENLIJST!$D$14="",SUM(Liquiditeit!G38:G39),0)</f>
        <v>0</v>
      </c>
      <c r="H44" s="323">
        <f ca="1">SUM(H19:H42)-IF(VRAGENLIJST!$D$14="",SUM(Liquiditeit!H38:H39),0)</f>
        <v>0</v>
      </c>
      <c r="I44" s="323">
        <f ca="1">SUM(I19:I42)-IF(VRAGENLIJST!$D$14="",SUM(Liquiditeit!I38:I39),0)</f>
        <v>0</v>
      </c>
      <c r="J44" s="323">
        <f ca="1">SUM(J19:J42)-IF(VRAGENLIJST!$D$14="",SUM(Liquiditeit!J38:J39),0)</f>
        <v>0</v>
      </c>
      <c r="K44" s="323">
        <f ca="1">SUM(K19:K42)-IF(VRAGENLIJST!$D$14="",SUM(Liquiditeit!K38:K39),0)</f>
        <v>0</v>
      </c>
      <c r="L44" s="323">
        <f ca="1">SUM(L19:L42)-IF(VRAGENLIJST!$D$14="",SUM(Liquiditeit!L38:L39),0)</f>
        <v>0</v>
      </c>
      <c r="M44" s="323">
        <f ca="1">SUM(M19:M42)-IF(VRAGENLIJST!$D$14="",SUM(Liquiditeit!M38:M39),0)</f>
        <v>0</v>
      </c>
      <c r="N44" s="323">
        <f ca="1">SUM(N19:N42)-IF(VRAGENLIJST!$D$14="",SUM(Liquiditeit!N38:N39),0)</f>
        <v>0</v>
      </c>
      <c r="O44" s="323">
        <f ca="1">SUM(O19:O42)-IF(VRAGENLIJST!$D$14="",SUM(Liquiditeit!O38:O39),0)</f>
        <v>0</v>
      </c>
      <c r="P44" s="320">
        <f ca="1">SUM(C44:O44)</f>
        <v>0</v>
      </c>
      <c r="Q44" s="323">
        <f ca="1">SUM(Q19:Q42)-IF(VRAGENLIJST!$D$14="",SUM(Liquiditeit!Q38:Q39),0)</f>
        <v>0</v>
      </c>
      <c r="R44" s="323">
        <f ca="1">SUM(R19:R42)-IF(VRAGENLIJST!$D$14="",SUM(Liquiditeit!R38:R39),0)</f>
        <v>0</v>
      </c>
      <c r="S44" s="323">
        <f ca="1">SUM(S19:S42)-IF(VRAGENLIJST!$D$14="",SUM(Liquiditeit!S38:S39),0)</f>
        <v>0</v>
      </c>
      <c r="T44" s="323">
        <f ca="1">SUM(T19:T42)-IF(VRAGENLIJST!$D$14="",SUM(Liquiditeit!T38:T39),0)</f>
        <v>0</v>
      </c>
      <c r="U44" s="323">
        <f ca="1">SUM(U19:U42)-IF(VRAGENLIJST!$D$14="",SUM(Liquiditeit!U38:U39),0)</f>
        <v>0</v>
      </c>
      <c r="V44" s="323">
        <f ca="1">SUM(V19:V42)-IF(VRAGENLIJST!$D$14="",SUM(Liquiditeit!V38:V39),0)</f>
        <v>0</v>
      </c>
      <c r="W44" s="323">
        <f ca="1">SUM(W19:W42)-IF(VRAGENLIJST!$D$14="",SUM(Liquiditeit!W38:W39),0)</f>
        <v>0</v>
      </c>
      <c r="X44" s="323">
        <f ca="1">SUM(X19:X42)-IF(VRAGENLIJST!$D$14="",SUM(Liquiditeit!X38:X39),0)</f>
        <v>0</v>
      </c>
      <c r="Y44" s="323">
        <f ca="1">SUM(Y19:Y42)-IF(VRAGENLIJST!$D$14="",SUM(Liquiditeit!Y38:Y39),0)</f>
        <v>0</v>
      </c>
      <c r="Z44" s="323">
        <f ca="1">SUM(Z19:Z42)-IF(VRAGENLIJST!$D$14="",SUM(Liquiditeit!Z38:Z39),0)</f>
        <v>0</v>
      </c>
      <c r="AA44" s="323">
        <f ca="1">SUM(AA19:AA42)-IF(VRAGENLIJST!$D$14="",SUM(Liquiditeit!AA38:AA39),0)</f>
        <v>0</v>
      </c>
      <c r="AB44" s="323">
        <f ca="1">SUM(AB19:AB42)-IF(VRAGENLIJST!$D$14="",SUM(Liquiditeit!AB38:AB39),0)</f>
        <v>0</v>
      </c>
      <c r="AC44" s="320">
        <f ca="1">SUM(Q44:AB44)</f>
        <v>0</v>
      </c>
      <c r="AD44" s="323">
        <f ca="1">SUM(AD19:AD42)-IF(VRAGENLIJST!$D$14="",SUM(Liquiditeit!AD38:AD39),0)</f>
        <v>0</v>
      </c>
      <c r="AE44" s="323">
        <f ca="1">SUM(AE19:AE42)-IF(VRAGENLIJST!$D$14="",SUM(Liquiditeit!AE38:AE39),0)</f>
        <v>0</v>
      </c>
      <c r="AF44" s="323">
        <f ca="1">SUM(AF19:AF42)-IF(VRAGENLIJST!$D$14="",SUM(Liquiditeit!AF38:AF39),0)</f>
        <v>0</v>
      </c>
      <c r="AG44" s="323">
        <f ca="1">SUM(AG19:AG42)-IF(VRAGENLIJST!$D$14="",SUM(Liquiditeit!AG38:AG39),0)</f>
        <v>0</v>
      </c>
      <c r="AH44" s="323">
        <f ca="1">SUM(AH19:AH42)-IF(VRAGENLIJST!$D$14="",SUM(Liquiditeit!AH38:AH39),0)</f>
        <v>0</v>
      </c>
      <c r="AI44" s="323">
        <f ca="1">SUM(AI19:AI42)-IF(VRAGENLIJST!$D$14="",SUM(Liquiditeit!AI38:AI39),0)</f>
        <v>0</v>
      </c>
      <c r="AJ44" s="323">
        <f ca="1">SUM(AJ19:AJ42)-IF(VRAGENLIJST!$D$14="",SUM(Liquiditeit!AJ38:AJ39),0)</f>
        <v>0</v>
      </c>
      <c r="AK44" s="323">
        <f ca="1">SUM(AK19:AK42)-IF(VRAGENLIJST!$D$14="",SUM(Liquiditeit!AK38:AK39),0)</f>
        <v>0</v>
      </c>
      <c r="AL44" s="323">
        <f ca="1">SUM(AL19:AL42)-IF(VRAGENLIJST!$D$14="",SUM(Liquiditeit!AL38:AL39),0)</f>
        <v>0</v>
      </c>
      <c r="AM44" s="323">
        <f ca="1">SUM(AM19:AM42)-IF(VRAGENLIJST!$D$14="",SUM(Liquiditeit!AM38:AM39),0)</f>
        <v>0</v>
      </c>
      <c r="AN44" s="323">
        <f ca="1">SUM(AN19:AN42)-IF(VRAGENLIJST!$D$14="",SUM(Liquiditeit!AN38:AN39),0)</f>
        <v>0</v>
      </c>
      <c r="AO44" s="323">
        <f ca="1">SUM(AO19:AO42)-IF(VRAGENLIJST!$D$14="",SUM(Liquiditeit!AO38:AO39),0)</f>
        <v>0</v>
      </c>
      <c r="AP44" s="320">
        <f ca="1">SUM(AD44:AO44)</f>
        <v>0</v>
      </c>
    </row>
    <row r="45" spans="2:42" ht="14.25" customHeight="1" x14ac:dyDescent="0.25">
      <c r="B45" s="326"/>
      <c r="C45" s="326"/>
      <c r="D45" s="326"/>
      <c r="E45" s="326"/>
      <c r="F45" s="326"/>
      <c r="G45" s="326"/>
      <c r="H45" s="326"/>
      <c r="I45" s="326"/>
      <c r="J45" s="326"/>
      <c r="K45" s="326"/>
      <c r="L45" s="326"/>
      <c r="M45" s="326"/>
      <c r="N45" s="326"/>
      <c r="O45" s="326"/>
      <c r="P45" s="326"/>
      <c r="Q45" s="326"/>
      <c r="R45" s="326"/>
      <c r="S45" s="326"/>
      <c r="T45" s="326"/>
      <c r="U45" s="326"/>
      <c r="V45" s="326"/>
      <c r="W45" s="326"/>
      <c r="X45" s="326"/>
      <c r="Y45" s="326"/>
      <c r="Z45" s="326"/>
      <c r="AA45" s="326"/>
      <c r="AB45" s="326"/>
      <c r="AC45" s="326"/>
      <c r="AD45" s="326"/>
      <c r="AE45" s="326"/>
      <c r="AF45" s="326"/>
      <c r="AG45" s="326"/>
      <c r="AH45" s="326"/>
      <c r="AI45" s="326"/>
      <c r="AJ45" s="326"/>
      <c r="AK45" s="326"/>
      <c r="AL45" s="326"/>
      <c r="AM45" s="326"/>
      <c r="AN45" s="326"/>
      <c r="AO45" s="326"/>
      <c r="AP45" s="326"/>
    </row>
    <row r="46" spans="2:42" ht="14.25" customHeight="1" x14ac:dyDescent="0.25">
      <c r="B46" s="327" t="str">
        <f>Vertaling!A302</f>
        <v>Kas per maand</v>
      </c>
      <c r="C46" s="328">
        <f t="shared" ref="C46:AO46" si="15">C16-C44</f>
        <v>0</v>
      </c>
      <c r="D46" s="328">
        <f t="shared" ca="1" si="15"/>
        <v>0</v>
      </c>
      <c r="E46" s="328">
        <f t="shared" ca="1" si="15"/>
        <v>0</v>
      </c>
      <c r="F46" s="328">
        <f t="shared" ca="1" si="15"/>
        <v>0</v>
      </c>
      <c r="G46" s="328">
        <f t="shared" ca="1" si="15"/>
        <v>0</v>
      </c>
      <c r="H46" s="328">
        <f t="shared" ca="1" si="15"/>
        <v>0</v>
      </c>
      <c r="I46" s="328">
        <f t="shared" ca="1" si="15"/>
        <v>0</v>
      </c>
      <c r="J46" s="328">
        <f t="shared" ca="1" si="15"/>
        <v>0</v>
      </c>
      <c r="K46" s="328">
        <f t="shared" ca="1" si="15"/>
        <v>0</v>
      </c>
      <c r="L46" s="328">
        <f t="shared" ca="1" si="15"/>
        <v>0</v>
      </c>
      <c r="M46" s="328">
        <f t="shared" ca="1" si="15"/>
        <v>0</v>
      </c>
      <c r="N46" s="328">
        <f t="shared" ca="1" si="15"/>
        <v>0</v>
      </c>
      <c r="O46" s="328">
        <f t="shared" ca="1" si="15"/>
        <v>0</v>
      </c>
      <c r="P46" s="329"/>
      <c r="Q46" s="328">
        <f t="shared" ca="1" si="15"/>
        <v>0</v>
      </c>
      <c r="R46" s="328">
        <f t="shared" ca="1" si="15"/>
        <v>0</v>
      </c>
      <c r="S46" s="328">
        <f t="shared" ca="1" si="15"/>
        <v>0</v>
      </c>
      <c r="T46" s="328">
        <f t="shared" ca="1" si="15"/>
        <v>0</v>
      </c>
      <c r="U46" s="328">
        <f t="shared" ca="1" si="15"/>
        <v>0</v>
      </c>
      <c r="V46" s="328">
        <f t="shared" ca="1" si="15"/>
        <v>0</v>
      </c>
      <c r="W46" s="328">
        <f t="shared" ca="1" si="15"/>
        <v>0</v>
      </c>
      <c r="X46" s="328">
        <f t="shared" ca="1" si="15"/>
        <v>0</v>
      </c>
      <c r="Y46" s="328">
        <f t="shared" ca="1" si="15"/>
        <v>0</v>
      </c>
      <c r="Z46" s="328">
        <f t="shared" ca="1" si="15"/>
        <v>0</v>
      </c>
      <c r="AA46" s="328">
        <f t="shared" ca="1" si="15"/>
        <v>0</v>
      </c>
      <c r="AB46" s="328">
        <f t="shared" ca="1" si="15"/>
        <v>0</v>
      </c>
      <c r="AC46" s="329"/>
      <c r="AD46" s="328">
        <f t="shared" ca="1" si="15"/>
        <v>0</v>
      </c>
      <c r="AE46" s="328">
        <f t="shared" ca="1" si="15"/>
        <v>0</v>
      </c>
      <c r="AF46" s="328">
        <f t="shared" ca="1" si="15"/>
        <v>0</v>
      </c>
      <c r="AG46" s="328">
        <f t="shared" ca="1" si="15"/>
        <v>0</v>
      </c>
      <c r="AH46" s="328">
        <f t="shared" ca="1" si="15"/>
        <v>0</v>
      </c>
      <c r="AI46" s="328">
        <f t="shared" ca="1" si="15"/>
        <v>0</v>
      </c>
      <c r="AJ46" s="328">
        <f t="shared" ca="1" si="15"/>
        <v>0</v>
      </c>
      <c r="AK46" s="328">
        <f t="shared" ca="1" si="15"/>
        <v>0</v>
      </c>
      <c r="AL46" s="328">
        <f t="shared" ca="1" si="15"/>
        <v>0</v>
      </c>
      <c r="AM46" s="328">
        <f t="shared" ca="1" si="15"/>
        <v>0</v>
      </c>
      <c r="AN46" s="328">
        <f t="shared" ca="1" si="15"/>
        <v>0</v>
      </c>
      <c r="AO46" s="328">
        <f t="shared" ca="1" si="15"/>
        <v>0</v>
      </c>
      <c r="AP46" s="329"/>
    </row>
    <row r="47" spans="2:42" ht="14.25" customHeight="1" x14ac:dyDescent="0.25">
      <c r="B47" s="326"/>
      <c r="C47" s="326"/>
      <c r="D47" s="326"/>
      <c r="E47" s="326"/>
      <c r="F47" s="326"/>
      <c r="G47" s="326"/>
      <c r="H47" s="326"/>
      <c r="I47" s="326"/>
      <c r="J47" s="326"/>
      <c r="K47" s="326"/>
      <c r="L47" s="326"/>
      <c r="M47" s="326"/>
      <c r="N47" s="326"/>
      <c r="O47" s="326"/>
      <c r="P47" s="326"/>
      <c r="Q47" s="326"/>
      <c r="R47" s="326"/>
      <c r="S47" s="326"/>
      <c r="T47" s="326"/>
      <c r="U47" s="326"/>
      <c r="V47" s="326"/>
      <c r="W47" s="326"/>
      <c r="X47" s="326"/>
      <c r="Y47" s="326"/>
      <c r="Z47" s="326"/>
      <c r="AA47" s="326"/>
      <c r="AB47" s="326"/>
      <c r="AC47" s="326"/>
      <c r="AD47" s="326"/>
      <c r="AE47" s="326"/>
      <c r="AF47" s="326"/>
      <c r="AG47" s="326"/>
      <c r="AH47" s="326"/>
      <c r="AI47" s="326"/>
      <c r="AJ47" s="326"/>
      <c r="AK47" s="326"/>
      <c r="AL47" s="326"/>
      <c r="AM47" s="326"/>
      <c r="AN47" s="326"/>
      <c r="AO47" s="326"/>
      <c r="AP47" s="326"/>
    </row>
    <row r="48" spans="2:42" ht="14.25" customHeight="1" x14ac:dyDescent="0.25">
      <c r="B48" s="327" t="str">
        <f>Vertaling!A303</f>
        <v>Eindsaldo</v>
      </c>
      <c r="C48" s="328">
        <f>C5+C46</f>
        <v>0</v>
      </c>
      <c r="D48" s="328">
        <f t="shared" ref="D48:AO48" ca="1" si="16">D5+D46</f>
        <v>0</v>
      </c>
      <c r="E48" s="328">
        <f t="shared" ca="1" si="16"/>
        <v>0</v>
      </c>
      <c r="F48" s="328">
        <f t="shared" ca="1" si="16"/>
        <v>0</v>
      </c>
      <c r="G48" s="328">
        <f t="shared" ca="1" si="16"/>
        <v>0</v>
      </c>
      <c r="H48" s="328">
        <f t="shared" ca="1" si="16"/>
        <v>0</v>
      </c>
      <c r="I48" s="328">
        <f t="shared" ca="1" si="16"/>
        <v>0</v>
      </c>
      <c r="J48" s="328">
        <f t="shared" ca="1" si="16"/>
        <v>0</v>
      </c>
      <c r="K48" s="328">
        <f t="shared" ca="1" si="16"/>
        <v>0</v>
      </c>
      <c r="L48" s="328">
        <f t="shared" ca="1" si="16"/>
        <v>0</v>
      </c>
      <c r="M48" s="328">
        <f t="shared" ca="1" si="16"/>
        <v>0</v>
      </c>
      <c r="N48" s="328">
        <f t="shared" ca="1" si="16"/>
        <v>0</v>
      </c>
      <c r="O48" s="328">
        <f t="shared" ca="1" si="16"/>
        <v>0</v>
      </c>
      <c r="P48" s="329"/>
      <c r="Q48" s="328">
        <f t="shared" ca="1" si="16"/>
        <v>0</v>
      </c>
      <c r="R48" s="328">
        <f t="shared" ca="1" si="16"/>
        <v>0</v>
      </c>
      <c r="S48" s="328">
        <f t="shared" ca="1" si="16"/>
        <v>0</v>
      </c>
      <c r="T48" s="328">
        <f t="shared" ca="1" si="16"/>
        <v>0</v>
      </c>
      <c r="U48" s="328">
        <f t="shared" ca="1" si="16"/>
        <v>0</v>
      </c>
      <c r="V48" s="328">
        <f t="shared" ca="1" si="16"/>
        <v>0</v>
      </c>
      <c r="W48" s="328">
        <f t="shared" ca="1" si="16"/>
        <v>0</v>
      </c>
      <c r="X48" s="328">
        <f t="shared" ca="1" si="16"/>
        <v>0</v>
      </c>
      <c r="Y48" s="328">
        <f t="shared" ca="1" si="16"/>
        <v>0</v>
      </c>
      <c r="Z48" s="328">
        <f t="shared" ca="1" si="16"/>
        <v>0</v>
      </c>
      <c r="AA48" s="328">
        <f t="shared" ca="1" si="16"/>
        <v>0</v>
      </c>
      <c r="AB48" s="328">
        <f t="shared" ca="1" si="16"/>
        <v>0</v>
      </c>
      <c r="AC48" s="329"/>
      <c r="AD48" s="328">
        <f t="shared" ca="1" si="16"/>
        <v>0</v>
      </c>
      <c r="AE48" s="328">
        <f t="shared" ca="1" si="16"/>
        <v>0</v>
      </c>
      <c r="AF48" s="328">
        <f t="shared" ca="1" si="16"/>
        <v>0</v>
      </c>
      <c r="AG48" s="328">
        <f t="shared" ca="1" si="16"/>
        <v>0</v>
      </c>
      <c r="AH48" s="328">
        <f t="shared" ca="1" si="16"/>
        <v>0</v>
      </c>
      <c r="AI48" s="328">
        <f t="shared" ca="1" si="16"/>
        <v>0</v>
      </c>
      <c r="AJ48" s="328">
        <f t="shared" ca="1" si="16"/>
        <v>0</v>
      </c>
      <c r="AK48" s="328">
        <f t="shared" ca="1" si="16"/>
        <v>0</v>
      </c>
      <c r="AL48" s="328">
        <f t="shared" ca="1" si="16"/>
        <v>0</v>
      </c>
      <c r="AM48" s="328">
        <f t="shared" ca="1" si="16"/>
        <v>0</v>
      </c>
      <c r="AN48" s="328">
        <f t="shared" ca="1" si="16"/>
        <v>0</v>
      </c>
      <c r="AO48" s="328">
        <f t="shared" ca="1" si="16"/>
        <v>0</v>
      </c>
      <c r="AP48" s="329"/>
    </row>
    <row r="50" ht="15" x14ac:dyDescent="0.25"/>
  </sheetData>
  <sheetProtection algorithmName="SHA-512" hashValue="K74kpodTqjVsNN5cwKTSxE38lx6R+b/KfVnuRdrNM07Sb+fNEfpbQr2hqzt6B1Eb7G/NfpJhXp8JpbEAoZIc/w==" saltValue="fl87f2tTJFVdw5c/3q69ZQ==" spinCount="100000" sheet="1" formatColumns="0"/>
  <pageMargins left="0.75" right="0.75" top="1" bottom="1" header="0.51180555555555551" footer="0.51180555555555551"/>
  <pageSetup paperSize="9" scale="66" firstPageNumber="0" fitToHeight="0" orientation="landscape" horizontalDpi="300" verticalDpi="300" r:id="rId1"/>
  <headerFooter alignWithMargins="0"/>
  <ignoredErrors>
    <ignoredError sqref="B37"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14" id="{59CD6CA2-7108-40C0-8F0D-61E26B0BA413}">
            <xm:f>VRAGENLIJST!$D$4="B.V."</xm:f>
            <x14:dxf>
              <font>
                <color theme="0"/>
              </font>
              <fill>
                <patternFill>
                  <fgColor theme="0"/>
                  <bgColor theme="0"/>
                </patternFill>
              </fill>
              <border>
                <left/>
                <right/>
                <top/>
                <bottom/>
                <vertical/>
                <horizontal/>
              </border>
            </x14:dxf>
          </x14:cfRule>
          <xm:sqref>A37:O37 Q37:AB37 AD37:AO37 AQ37:XFD37 A38:XFD43</xm:sqref>
        </x14:conditionalFormatting>
        <x14:conditionalFormatting xmlns:xm="http://schemas.microsoft.com/office/excel/2006/main">
          <x14:cfRule type="expression" priority="6" id="{51585E72-5C5E-4E67-A4D9-4FE8ED5EE4F6}">
            <xm:f>VRAGENLIJST!$D$14=""</xm:f>
            <x14:dxf>
              <font>
                <color theme="0"/>
              </font>
              <fill>
                <patternFill>
                  <fgColor theme="0"/>
                  <bgColor theme="0"/>
                </patternFill>
              </fill>
              <border>
                <left/>
                <right/>
                <top/>
                <bottom/>
                <vertical/>
                <horizontal/>
              </border>
            </x14:dxf>
          </x14:cfRule>
          <xm:sqref>B37:O37 Q37:AB37 B38:AP39</xm:sqref>
        </x14:conditionalFormatting>
        <x14:conditionalFormatting xmlns:xm="http://schemas.microsoft.com/office/excel/2006/main">
          <x14:cfRule type="expression" priority="10" id="{90C33868-136A-41F3-A38C-A70E75EB925D}">
            <xm:f>VRAGENLIJST!$D$4="Eenmanszaak"</xm:f>
            <x14:dxf>
              <font>
                <color theme="0"/>
              </font>
              <fill>
                <patternFill>
                  <bgColor theme="0"/>
                </patternFill>
              </fill>
            </x14:dxf>
          </x14:cfRule>
          <x14:cfRule type="expression" priority="11" id="{7242C7CC-3A1A-4C5F-BD39-B4E7630DF720}">
            <xm:f>VRAGENLIJST!$D$4="V.O.F."</xm:f>
            <x14:dxf>
              <font>
                <color theme="0"/>
              </font>
              <fill>
                <patternFill>
                  <bgColor theme="0"/>
                </patternFill>
              </fill>
            </x14:dxf>
          </x14:cfRule>
          <xm:sqref>B25:AP25</xm:sqref>
        </x14:conditionalFormatting>
        <x14:conditionalFormatting xmlns:xm="http://schemas.microsoft.com/office/excel/2006/main">
          <x14:cfRule type="expression" priority="1" id="{7CD5BB4B-9602-4828-9F78-35D894E7EF3B}">
            <xm:f>OR(VRAGENLIJST!$D$4=dropdowns!$A$5,VRAGENLIJST!$D$4=dropdowns!$A$4)</xm:f>
            <x14:dxf>
              <font>
                <color theme="0"/>
              </font>
              <fill>
                <patternFill>
                  <bgColor theme="0"/>
                </patternFill>
              </fill>
              <border>
                <left/>
                <right/>
                <top/>
                <bottom/>
              </border>
            </x14:dxf>
          </x14:cfRule>
          <xm:sqref>B36:AP36</xm:sqref>
        </x14:conditionalFormatting>
        <x14:conditionalFormatting xmlns:xm="http://schemas.microsoft.com/office/excel/2006/main">
          <x14:cfRule type="expression" priority="4" id="{D7A97191-9494-41B1-A7FB-1C78D958AC53}">
            <xm:f>VRAGENLIJST!$D$14=""</xm:f>
            <x14:dxf>
              <font>
                <color theme="0"/>
              </font>
              <fill>
                <patternFill>
                  <fgColor theme="0"/>
                  <bgColor theme="0"/>
                </patternFill>
              </fill>
              <border>
                <left/>
                <right/>
                <top/>
                <bottom/>
                <vertical/>
                <horizontal/>
              </border>
            </x14:dxf>
          </x14:cfRule>
          <xm:sqref>AD37:AO39</xm:sqref>
        </x14:conditionalFormatting>
        <x14:conditionalFormatting xmlns:xm="http://schemas.microsoft.com/office/excel/2006/main">
          <x14:cfRule type="expression" priority="3" id="{F4BFA70C-40E6-49F4-BA1E-5C5D2205452C}">
            <xm:f>VRAGENLIJST!$D$14=""</xm:f>
            <x14:dxf>
              <font>
                <color theme="0"/>
              </font>
              <fill>
                <patternFill>
                  <fgColor theme="0"/>
                  <bgColor theme="0"/>
                </patternFill>
              </fill>
              <border>
                <left/>
                <right/>
                <top/>
                <bottom/>
                <vertical/>
                <horizontal/>
              </border>
            </x14:dxf>
          </x14:cfRule>
          <xm:sqref>AP39</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5">
    <tabColor rgb="FF232572"/>
  </sheetPr>
  <dimension ref="A1:J52"/>
  <sheetViews>
    <sheetView zoomScaleNormal="100" workbookViewId="0">
      <selection activeCell="B1" sqref="B1"/>
    </sheetView>
  </sheetViews>
  <sheetFormatPr defaultColWidth="64.140625" defaultRowHeight="14.25" customHeight="1" x14ac:dyDescent="0.25"/>
  <cols>
    <col min="1" max="1" width="3.5703125" style="3" customWidth="1"/>
    <col min="2" max="2" width="52" style="261" customWidth="1"/>
    <col min="3" max="5" width="15.85546875" style="261" customWidth="1"/>
    <col min="6" max="6" width="9.140625" style="261" customWidth="1"/>
    <col min="7" max="7" width="45.85546875" style="261" customWidth="1"/>
    <col min="8" max="10" width="15.85546875" style="261" customWidth="1"/>
    <col min="11" max="11" width="9.140625" style="3" customWidth="1"/>
    <col min="12" max="12" width="11.85546875" style="3" customWidth="1"/>
    <col min="13" max="255" width="9.140625" style="3" customWidth="1"/>
    <col min="256" max="256" width="3.140625" style="3" customWidth="1"/>
    <col min="257" max="16384" width="64.140625" style="3"/>
  </cols>
  <sheetData>
    <row r="1" spans="2:10" ht="93" customHeight="1" x14ac:dyDescent="0.25">
      <c r="B1" s="171" t="str">
        <f>Vertaling!A308</f>
        <v>Exploitatiebegroting</v>
      </c>
      <c r="C1" s="2"/>
      <c r="D1" s="439" t="str">
        <f>Vertaling!A304</f>
        <v>Wat is dit?</v>
      </c>
      <c r="E1" s="208"/>
      <c r="F1" s="208"/>
      <c r="G1" s="3"/>
      <c r="H1" s="18"/>
      <c r="I1" s="18"/>
      <c r="J1" s="18"/>
    </row>
    <row r="2" spans="2:10" ht="15" x14ac:dyDescent="0.25">
      <c r="B2" s="212"/>
      <c r="C2" s="212"/>
      <c r="H2" s="330"/>
      <c r="I2" s="330"/>
      <c r="J2" s="330"/>
    </row>
    <row r="3" spans="2:10" ht="14.25" customHeight="1" x14ac:dyDescent="0.25">
      <c r="B3" s="331" t="str">
        <f>Vertaling!A309</f>
        <v xml:space="preserve">Exploitatiebegroting </v>
      </c>
      <c r="C3" s="265" t="str">
        <f>Vertaling!A310</f>
        <v>Jaar 1</v>
      </c>
      <c r="D3" s="265" t="str">
        <f>Vertaling!A311</f>
        <v>Jaar 2</v>
      </c>
      <c r="E3" s="265" t="str">
        <f>Vertaling!A312</f>
        <v>Jaar 3</v>
      </c>
      <c r="F3" s="266"/>
      <c r="G3" s="331" t="str">
        <f>Vertaling!A342</f>
        <v xml:space="preserve">Cashflowoverzicht  </v>
      </c>
      <c r="H3" s="265" t="str">
        <f>C3</f>
        <v>Jaar 1</v>
      </c>
      <c r="I3" s="265" t="str">
        <f>D3</f>
        <v>Jaar 2</v>
      </c>
      <c r="J3" s="265" t="str">
        <f>E3</f>
        <v>Jaar 3</v>
      </c>
    </row>
    <row r="4" spans="2:10" ht="14.25" customHeight="1" x14ac:dyDescent="0.25">
      <c r="B4" s="332" t="str">
        <f>Vertaling!A313</f>
        <v>Netto-omzet product 1</v>
      </c>
      <c r="C4" s="333">
        <f>SUM(VRAGENLIJST!$D$255:$D$277)</f>
        <v>0</v>
      </c>
      <c r="D4" s="333">
        <f>SUM(VRAGENLIJST!$D$279:$D$301)</f>
        <v>0</v>
      </c>
      <c r="E4" s="333">
        <f>SUM(VRAGENLIJST!$D$303:$D$325)</f>
        <v>0</v>
      </c>
      <c r="F4" s="266"/>
      <c r="G4" s="271" t="str">
        <f>Vertaling!A343</f>
        <v>Winst na belasting</v>
      </c>
      <c r="H4" s="333">
        <f>IF(OR(VRAGENLIJST!D4=dropdowns!B6,VRAGENLIJST!D4=dropdowns!C6,VRAGENLIJST!D4=dropdowns!D6,VRAGENLIJST!D4=dropdowns!E6),C49,C35-C41-C46)</f>
        <v>0</v>
      </c>
      <c r="I4" s="333">
        <f>IF(OR(VRAGENLIJST!D4=dropdowns!B6,VRAGENLIJST!D4=dropdowns!C6,VRAGENLIJST!D4=dropdowns!D6,VRAGENLIJST!D4=dropdowns!E6),D49,D35-D41-D46)</f>
        <v>0</v>
      </c>
      <c r="J4" s="333">
        <f>IF(OR(VRAGENLIJST!D4=dropdowns!B6,VRAGENLIJST!D4=dropdowns!C6,VRAGENLIJST!D4=dropdowns!D6,VRAGENLIJST!D4=dropdowns!E6),E49,E35-E41-E46)</f>
        <v>0</v>
      </c>
    </row>
    <row r="5" spans="2:10" ht="14.25" customHeight="1" x14ac:dyDescent="0.25">
      <c r="B5" s="334" t="str">
        <f>Vertaling!A314</f>
        <v>Inkoopwaarde</v>
      </c>
      <c r="C5" s="335">
        <f>IF(OR(VRAGENLIJST!$D$162=dropdowns!$B$24,VRAGENLIJST!$D$162=dropdowns!$C$24,VRAGENLIJST!$D$162=dropdowns!$D$24,VRAGENLIJST!$D$162=dropdowns!$E$24),C4*VRAGENLIJST!$D$166,0)</f>
        <v>0</v>
      </c>
      <c r="D5" s="335">
        <f>IF(OR(VRAGENLIJST!$D$162=dropdowns!$B$24,VRAGENLIJST!$D$162=dropdowns!$C$24,VRAGENLIJST!$D$162=dropdowns!$D$24,VRAGENLIJST!$D$162=dropdowns!$E$24),D4*VRAGENLIJST!$D$166,0)</f>
        <v>0</v>
      </c>
      <c r="E5" s="335">
        <f>IF(OR(VRAGENLIJST!$D$162=dropdowns!$B$24,VRAGENLIJST!$D$162=dropdowns!$C$24,VRAGENLIJST!$D$162=dropdowns!$D$24,VRAGENLIJST!$D$162=dropdowns!$E$24),E4*VRAGENLIJST!$D$166,0)</f>
        <v>0</v>
      </c>
      <c r="F5" s="266"/>
      <c r="G5" s="334" t="str">
        <f>Vertaling!A344</f>
        <v>Afschrijvingskosten</v>
      </c>
      <c r="H5" s="335">
        <f>C29</f>
        <v>0</v>
      </c>
      <c r="I5" s="335">
        <f>D29</f>
        <v>0</v>
      </c>
      <c r="J5" s="335">
        <f>E29</f>
        <v>0</v>
      </c>
    </row>
    <row r="6" spans="2:10" ht="14.25" customHeight="1" x14ac:dyDescent="0.25">
      <c r="B6" s="271" t="str">
        <f>Vertaling!A315</f>
        <v>Brutowinst</v>
      </c>
      <c r="C6" s="336">
        <f>C4-C5</f>
        <v>0</v>
      </c>
      <c r="D6" s="336">
        <f t="shared" ref="D6:E6" si="0">D4-D5</f>
        <v>0</v>
      </c>
      <c r="E6" s="336">
        <f t="shared" si="0"/>
        <v>0</v>
      </c>
      <c r="F6" s="266"/>
      <c r="G6" s="271" t="str">
        <f>Vertaling!A345</f>
        <v>Beschikbare kasmiddelen</v>
      </c>
      <c r="H6" s="333">
        <f>H4+H5</f>
        <v>0</v>
      </c>
      <c r="I6" s="333">
        <f>I4+I5</f>
        <v>0</v>
      </c>
      <c r="J6" s="333">
        <f>J4+J5</f>
        <v>0</v>
      </c>
    </row>
    <row r="7" spans="2:10" ht="14.25" customHeight="1" x14ac:dyDescent="0.25">
      <c r="B7" s="338" t="str">
        <f>Vertaling!A316</f>
        <v>Brutowinstmarge</v>
      </c>
      <c r="C7" s="339">
        <f>IF(C4=0,0,C6/C4)</f>
        <v>0</v>
      </c>
      <c r="D7" s="339">
        <f t="shared" ref="D7:E7" si="1">IF(D4=0,0,D6/D4)</f>
        <v>0</v>
      </c>
      <c r="E7" s="339">
        <f t="shared" si="1"/>
        <v>0</v>
      </c>
      <c r="F7" s="266"/>
      <c r="G7" s="340"/>
      <c r="H7" s="341"/>
      <c r="I7" s="341"/>
      <c r="J7" s="341"/>
    </row>
    <row r="8" spans="2:10" ht="14.25" customHeight="1" x14ac:dyDescent="0.25">
      <c r="B8" s="342"/>
      <c r="C8" s="343"/>
      <c r="D8" s="343"/>
      <c r="E8" s="343"/>
      <c r="F8" s="266"/>
      <c r="G8" s="344" t="str">
        <f>Vertaling!A346</f>
        <v>Totale privéonttrekking</v>
      </c>
      <c r="H8" s="345">
        <f>IF(VRAGENLIJST!$D$4=dropdowns!$A$6,0,C42+C47)</f>
        <v>0</v>
      </c>
      <c r="I8" s="345">
        <f>IF(VRAGENLIJST!$D$4=dropdowns!$A$6,0,D42+D47)</f>
        <v>0</v>
      </c>
      <c r="J8" s="345">
        <f>IF(VRAGENLIJST!$D$4=dropdowns!$A$6,0,E42+E47)</f>
        <v>0</v>
      </c>
    </row>
    <row r="9" spans="2:10" ht="14.25" customHeight="1" x14ac:dyDescent="0.25">
      <c r="B9" s="346" t="str">
        <f>Vertaling!A317</f>
        <v>Netto-omzet product 2</v>
      </c>
      <c r="C9" s="333">
        <f>SUM(VRAGENLIJST!$F$255:$F$277)</f>
        <v>0</v>
      </c>
      <c r="D9" s="347">
        <f>SUM(VRAGENLIJST!$F$279:$F$301)</f>
        <v>0</v>
      </c>
      <c r="E9" s="347">
        <f>SUM(VRAGENLIJST!$F$303:$F$325)</f>
        <v>0</v>
      </c>
      <c r="F9" s="266"/>
      <c r="G9" s="334" t="str">
        <f>Vertaling!A347</f>
        <v>Aflossingen</v>
      </c>
      <c r="H9" s="335">
        <f>Liquiditeit!P33+'Qredits maandlasten'!O18</f>
        <v>0</v>
      </c>
      <c r="I9" s="335">
        <f>Liquiditeit!AC33+'Qredits maandlasten'!O27</f>
        <v>0</v>
      </c>
      <c r="J9" s="335">
        <f>Liquiditeit!AP33+'Qredits maandlasten'!O35</f>
        <v>0</v>
      </c>
    </row>
    <row r="10" spans="2:10" ht="14.25" customHeight="1" x14ac:dyDescent="0.25">
      <c r="B10" s="334" t="str">
        <f>Vertaling!A319</f>
        <v>Inkoopwaarde</v>
      </c>
      <c r="C10" s="335">
        <f>IF(OR(VRAGENLIJST!$F$162=dropdowns!$B$24,VRAGENLIJST!$F$162=dropdowns!$C$24,VRAGENLIJST!$F$162=dropdowns!$E$25,VRAGENLIJST!$F$162=dropdowns!$E$24),C9*VRAGENLIJST!$F$166,0)</f>
        <v>0</v>
      </c>
      <c r="D10" s="335">
        <f>IF(OR(VRAGENLIJST!$F$162=dropdowns!$B$24,VRAGENLIJST!$F$162=dropdowns!$C$24,VRAGENLIJST!$F$162=dropdowns!$E$25,VRAGENLIJST!$F$162=dropdowns!$E$24),D9*VRAGENLIJST!$F$166,0)</f>
        <v>0</v>
      </c>
      <c r="E10" s="335">
        <f>IF(OR(VRAGENLIJST!$F$162=dropdowns!$B$24,VRAGENLIJST!$F$162=dropdowns!$C$24,VRAGENLIJST!$F$162=dropdowns!$E$25,VRAGENLIJST!$F$162=dropdowns!$E$24),E9*VRAGENLIJST!$F$166,0)</f>
        <v>0</v>
      </c>
      <c r="F10" s="266"/>
      <c r="G10" s="342"/>
      <c r="H10" s="341"/>
      <c r="I10" s="341"/>
      <c r="J10" s="341"/>
    </row>
    <row r="11" spans="2:10" ht="14.25" customHeight="1" x14ac:dyDescent="0.25">
      <c r="B11" s="271" t="str">
        <f>Vertaling!A320</f>
        <v>Brutowinst</v>
      </c>
      <c r="C11" s="336">
        <f>C9-C10</f>
        <v>0</v>
      </c>
      <c r="D11" s="336">
        <f t="shared" ref="D11:E11" si="2">D9-D10</f>
        <v>0</v>
      </c>
      <c r="E11" s="336">
        <f t="shared" si="2"/>
        <v>0</v>
      </c>
      <c r="F11" s="266"/>
      <c r="G11" s="280" t="str">
        <f>Vertaling!A348</f>
        <v>Beschikbaar voor investeringen</v>
      </c>
      <c r="H11" s="347">
        <f>H6-H8-H9</f>
        <v>0</v>
      </c>
      <c r="I11" s="347">
        <f t="shared" ref="I11:J11" si="3">I6-I8-I9</f>
        <v>0</v>
      </c>
      <c r="J11" s="347">
        <f t="shared" si="3"/>
        <v>0</v>
      </c>
    </row>
    <row r="12" spans="2:10" ht="14.25" customHeight="1" x14ac:dyDescent="0.25">
      <c r="B12" s="338" t="str">
        <f>Vertaling!A321</f>
        <v>Brutowinstmarge</v>
      </c>
      <c r="C12" s="339">
        <f>IF(C9=0,0,C11/C9)</f>
        <v>0</v>
      </c>
      <c r="D12" s="339">
        <f t="shared" ref="D12:E12" si="4">IF(D9=0,0,D11/D9)</f>
        <v>0</v>
      </c>
      <c r="E12" s="339">
        <f t="shared" si="4"/>
        <v>0</v>
      </c>
      <c r="F12" s="266"/>
      <c r="G12" s="266"/>
      <c r="H12" s="266"/>
      <c r="I12" s="266"/>
      <c r="J12" s="266"/>
    </row>
    <row r="13" spans="2:10" ht="14.25" customHeight="1" x14ac:dyDescent="0.25">
      <c r="B13" s="342"/>
      <c r="C13" s="343"/>
      <c r="D13" s="343"/>
      <c r="E13" s="343"/>
      <c r="F13" s="266"/>
      <c r="G13" s="266"/>
      <c r="H13" s="266"/>
      <c r="I13" s="266"/>
      <c r="J13" s="266"/>
    </row>
    <row r="14" spans="2:10" ht="14.25" customHeight="1" x14ac:dyDescent="0.25">
      <c r="B14" s="346" t="str">
        <f>Vertaling!A318</f>
        <v>Netto-omzet product 3</v>
      </c>
      <c r="C14" s="347">
        <f>SUM(VRAGENLIJST!$H$255:$H$277)</f>
        <v>0</v>
      </c>
      <c r="D14" s="333">
        <f>SUM(VRAGENLIJST!$H$279:$H$301)</f>
        <v>0</v>
      </c>
      <c r="E14" s="347">
        <f>SUM(VRAGENLIJST!$H$303:$H$325)</f>
        <v>0</v>
      </c>
      <c r="F14" s="266"/>
      <c r="G14" s="266"/>
      <c r="H14" s="266"/>
      <c r="I14" s="266"/>
      <c r="J14" s="266"/>
    </row>
    <row r="15" spans="2:10" ht="14.25" customHeight="1" x14ac:dyDescent="0.25">
      <c r="B15" s="334" t="str">
        <f>B10</f>
        <v>Inkoopwaarde</v>
      </c>
      <c r="C15" s="335">
        <f>IF(OR(VRAGENLIJST!$H$162=dropdowns!$B$24,VRAGENLIJST!$H$162=dropdowns!$C$24,VRAGENLIJST!$H$162=dropdowns!$E$25,VRAGENLIJST!$H$162=dropdowns!$E$24),C14*VRAGENLIJST!$H$166,0)</f>
        <v>0</v>
      </c>
      <c r="D15" s="335">
        <f>IF(OR(VRAGENLIJST!$H$162=dropdowns!$B$24,VRAGENLIJST!$H$162=dropdowns!$C$24,VRAGENLIJST!$H$162=dropdowns!$E$25,VRAGENLIJST!$H$162=dropdowns!$E$24),D14*VRAGENLIJST!$H$166,0)</f>
        <v>0</v>
      </c>
      <c r="E15" s="335">
        <f>IF(OR(VRAGENLIJST!$H$162=dropdowns!$B$24,VRAGENLIJST!$H$162=dropdowns!$C$24,VRAGENLIJST!$H$162=dropdowns!$E$25,VRAGENLIJST!$H$162=dropdowns!$E$24),E14*VRAGENLIJST!$H$166,0)</f>
        <v>0</v>
      </c>
      <c r="F15" s="266"/>
      <c r="G15" s="266"/>
      <c r="H15" s="266"/>
      <c r="I15" s="266"/>
      <c r="J15" s="266"/>
    </row>
    <row r="16" spans="2:10" ht="14.25" customHeight="1" x14ac:dyDescent="0.25">
      <c r="B16" s="271" t="str">
        <f>B11</f>
        <v>Brutowinst</v>
      </c>
      <c r="C16" s="336">
        <f>C14-C15</f>
        <v>0</v>
      </c>
      <c r="D16" s="336">
        <f t="shared" ref="D16:E16" si="5">D14-D15</f>
        <v>0</v>
      </c>
      <c r="E16" s="336">
        <f t="shared" si="5"/>
        <v>0</v>
      </c>
      <c r="F16" s="266"/>
      <c r="G16" s="266"/>
      <c r="H16" s="266"/>
      <c r="I16" s="266"/>
      <c r="J16" s="266"/>
    </row>
    <row r="17" spans="1:10" ht="14.25" customHeight="1" x14ac:dyDescent="0.25">
      <c r="B17" s="338" t="str">
        <f>B12</f>
        <v>Brutowinstmarge</v>
      </c>
      <c r="C17" s="339">
        <f>IF(C14=0,0,C16/C14)</f>
        <v>0</v>
      </c>
      <c r="D17" s="339">
        <f t="shared" ref="D17:E17" si="6">IF(D14=0,0,D16/D14)</f>
        <v>0</v>
      </c>
      <c r="E17" s="339">
        <f t="shared" si="6"/>
        <v>0</v>
      </c>
      <c r="F17" s="266"/>
      <c r="G17" s="266"/>
      <c r="H17" s="266"/>
      <c r="I17" s="266"/>
      <c r="J17" s="266"/>
    </row>
    <row r="18" spans="1:10" ht="14.25" customHeight="1" x14ac:dyDescent="0.25">
      <c r="B18" s="438"/>
      <c r="C18" s="343"/>
      <c r="D18" s="343"/>
      <c r="E18" s="343"/>
      <c r="F18" s="266"/>
      <c r="G18" s="266"/>
      <c r="H18" s="266"/>
      <c r="I18" s="266"/>
      <c r="J18" s="266"/>
    </row>
    <row r="19" spans="1:10" ht="14.25" customHeight="1" x14ac:dyDescent="0.25">
      <c r="B19" s="346" t="str">
        <f>Vertaling!A322</f>
        <v>Totaal omzet</v>
      </c>
      <c r="C19" s="347">
        <f>C4+C9+C14</f>
        <v>0</v>
      </c>
      <c r="D19" s="347">
        <f t="shared" ref="D19:E19" si="7">D4+D9+D14</f>
        <v>0</v>
      </c>
      <c r="E19" s="347">
        <f t="shared" si="7"/>
        <v>0</v>
      </c>
      <c r="F19" s="266"/>
      <c r="G19" s="266"/>
      <c r="H19" s="266"/>
      <c r="I19" s="266"/>
      <c r="J19" s="266"/>
    </row>
    <row r="20" spans="1:10" ht="14.25" customHeight="1" x14ac:dyDescent="0.25">
      <c r="B20" s="334" t="str">
        <f>Vertaling!A323</f>
        <v>Inkoopwaarde</v>
      </c>
      <c r="C20" s="335">
        <f>C5+C10+C15</f>
        <v>0</v>
      </c>
      <c r="D20" s="335">
        <f t="shared" ref="D20:E20" si="8">D5+D10+D15</f>
        <v>0</v>
      </c>
      <c r="E20" s="335">
        <f t="shared" si="8"/>
        <v>0</v>
      </c>
      <c r="F20" s="266"/>
      <c r="G20" s="266"/>
      <c r="H20" s="266"/>
      <c r="I20" s="266"/>
      <c r="J20" s="266"/>
    </row>
    <row r="21" spans="1:10" ht="14.25" customHeight="1" x14ac:dyDescent="0.25">
      <c r="B21" s="271" t="str">
        <f>Vertaling!A324</f>
        <v>Totaal brutowinst</v>
      </c>
      <c r="C21" s="336">
        <f>C19-C20</f>
        <v>0</v>
      </c>
      <c r="D21" s="336">
        <f t="shared" ref="D21:E21" si="9">D19-D20</f>
        <v>0</v>
      </c>
      <c r="E21" s="336">
        <f t="shared" si="9"/>
        <v>0</v>
      </c>
      <c r="F21" s="266"/>
      <c r="G21" s="266"/>
      <c r="H21" s="266"/>
      <c r="I21" s="266"/>
      <c r="J21" s="266"/>
    </row>
    <row r="22" spans="1:10" ht="14.25" customHeight="1" x14ac:dyDescent="0.25">
      <c r="B22" s="340"/>
      <c r="C22" s="341"/>
      <c r="D22" s="341"/>
      <c r="E22" s="341"/>
      <c r="F22" s="266"/>
      <c r="G22" s="266"/>
      <c r="H22" s="266"/>
      <c r="I22" s="266"/>
      <c r="J22" s="266"/>
    </row>
    <row r="23" spans="1:10" ht="14.25" customHeight="1" x14ac:dyDescent="0.25">
      <c r="B23" s="344" t="str">
        <f>IF(VRAGENLIJST!$D$4=dropdowns!$A$6,Vertaling!$A$299,"")</f>
        <v/>
      </c>
      <c r="C23" s="345" t="str">
        <f>IF(OR(VRAGENLIJST!$D$4=dropdowns!$B$6,VRAGENLIJST!$D$4=dropdowns!$C$6,VRAGENLIJST!$D$4=dropdowns!$D$6,VRAGENLIJST!$D$4=dropdowns!$E$6),Liquiditeit!P25,"")</f>
        <v/>
      </c>
      <c r="D23" s="345"/>
      <c r="E23" s="345"/>
      <c r="F23" s="266"/>
      <c r="G23" s="266"/>
      <c r="H23" s="266"/>
      <c r="I23" s="266"/>
      <c r="J23" s="266"/>
    </row>
    <row r="24" spans="1:10" ht="14.25" customHeight="1" x14ac:dyDescent="0.25">
      <c r="B24" s="334" t="str">
        <f>Vertaling!A325</f>
        <v>Personeelskosten</v>
      </c>
      <c r="C24" s="335">
        <f>Liquiditeit!P24</f>
        <v>0</v>
      </c>
      <c r="D24" s="335">
        <f>Liquiditeit!AC24</f>
        <v>0</v>
      </c>
      <c r="E24" s="335">
        <f>Liquiditeit!AP24</f>
        <v>0</v>
      </c>
      <c r="F24" s="266"/>
      <c r="G24" s="266"/>
      <c r="H24" s="266"/>
      <c r="I24" s="266"/>
      <c r="J24" s="266"/>
    </row>
    <row r="25" spans="1:10" ht="14.25" customHeight="1" x14ac:dyDescent="0.25">
      <c r="B25" s="334" t="str">
        <f>Vertaling!A326</f>
        <v>Huisvestingskosten</v>
      </c>
      <c r="C25" s="335">
        <f>Liquiditeit!P26</f>
        <v>0</v>
      </c>
      <c r="D25" s="335">
        <f>Liquiditeit!AC26</f>
        <v>0</v>
      </c>
      <c r="E25" s="335">
        <f>Liquiditeit!AP26</f>
        <v>0</v>
      </c>
      <c r="F25" s="266"/>
      <c r="G25" s="266"/>
      <c r="H25" s="266"/>
      <c r="I25" s="266"/>
      <c r="J25" s="266"/>
    </row>
    <row r="26" spans="1:10" ht="14.25" customHeight="1" x14ac:dyDescent="0.25">
      <c r="B26" s="334" t="str">
        <f>Vertaling!A327</f>
        <v>Vervoer-/transportkosten</v>
      </c>
      <c r="C26" s="335">
        <f>Liquiditeit!P27</f>
        <v>0</v>
      </c>
      <c r="D26" s="335">
        <f>Liquiditeit!AC27</f>
        <v>0</v>
      </c>
      <c r="E26" s="335">
        <f>Liquiditeit!AP27</f>
        <v>0</v>
      </c>
      <c r="F26" s="266"/>
      <c r="G26" s="266"/>
      <c r="H26" s="266"/>
      <c r="I26" s="266"/>
      <c r="J26" s="266"/>
    </row>
    <row r="27" spans="1:10" ht="14.25" customHeight="1" x14ac:dyDescent="0.25">
      <c r="A27" s="1"/>
      <c r="B27" s="334" t="str">
        <f>Vertaling!A328</f>
        <v>Promotiekosten</v>
      </c>
      <c r="C27" s="335">
        <f>Liquiditeit!P28</f>
        <v>0</v>
      </c>
      <c r="D27" s="335">
        <f>Liquiditeit!AC28</f>
        <v>0</v>
      </c>
      <c r="E27" s="335">
        <f>Liquiditeit!AP28</f>
        <v>0</v>
      </c>
      <c r="F27" s="266"/>
      <c r="G27" s="266"/>
      <c r="H27" s="266"/>
      <c r="I27" s="266"/>
      <c r="J27" s="266"/>
    </row>
    <row r="28" spans="1:10" ht="14.25" customHeight="1" x14ac:dyDescent="0.25">
      <c r="B28" s="334" t="str">
        <f>Vertaling!A329</f>
        <v xml:space="preserve">Overige bedrijfskosten </v>
      </c>
      <c r="C28" s="335">
        <f>Liquiditeit!P29</f>
        <v>0</v>
      </c>
      <c r="D28" s="335">
        <f>Liquiditeit!AC29</f>
        <v>0</v>
      </c>
      <c r="E28" s="335">
        <f>Liquiditeit!AP29</f>
        <v>0</v>
      </c>
      <c r="F28" s="266"/>
      <c r="G28" s="266"/>
      <c r="H28" s="348"/>
      <c r="I28" s="348"/>
      <c r="J28" s="348"/>
    </row>
    <row r="29" spans="1:10" ht="14.25" customHeight="1" x14ac:dyDescent="0.25">
      <c r="B29" s="334" t="str">
        <f>Vertaling!A330</f>
        <v>Afschrijvingskosten</v>
      </c>
      <c r="C29" s="335">
        <f>SUM('Investering &amp; Financiering'!$E$5:$E$9)*0.1</f>
        <v>0</v>
      </c>
      <c r="D29" s="335">
        <f>C29</f>
        <v>0</v>
      </c>
      <c r="E29" s="335">
        <f>D29</f>
        <v>0</v>
      </c>
      <c r="F29" s="266"/>
      <c r="G29" s="266"/>
      <c r="H29" s="266"/>
      <c r="I29" s="266"/>
      <c r="J29" s="266"/>
    </row>
    <row r="30" spans="1:10" ht="14.25" customHeight="1" x14ac:dyDescent="0.25">
      <c r="B30" s="271" t="str">
        <f>Vertaling!A331</f>
        <v>Totaal bedrijfskosten</v>
      </c>
      <c r="C30" s="333">
        <f>SUM(C23:C29)</f>
        <v>0</v>
      </c>
      <c r="D30" s="333">
        <f t="shared" ref="D30:E30" si="10">SUM(D23:D29)</f>
        <v>0</v>
      </c>
      <c r="E30" s="333">
        <f t="shared" si="10"/>
        <v>0</v>
      </c>
      <c r="F30" s="266"/>
      <c r="G30" s="266"/>
      <c r="H30" s="266"/>
      <c r="I30" s="266"/>
      <c r="J30" s="266"/>
    </row>
    <row r="31" spans="1:10" ht="14.25" customHeight="1" x14ac:dyDescent="0.25">
      <c r="B31" s="340"/>
      <c r="C31" s="341"/>
      <c r="D31" s="341"/>
      <c r="E31" s="341"/>
      <c r="F31" s="266"/>
      <c r="G31" s="266"/>
      <c r="H31" s="266"/>
      <c r="I31" s="266"/>
      <c r="J31" s="266"/>
    </row>
    <row r="32" spans="1:10" ht="14.25" customHeight="1" x14ac:dyDescent="0.25">
      <c r="B32" s="344" t="str">
        <f>Vertaling!A332</f>
        <v>Rente Qredits</v>
      </c>
      <c r="C32" s="345">
        <f>'Qredits maandlasten'!O17</f>
        <v>0</v>
      </c>
      <c r="D32" s="345">
        <f>'Qredits maandlasten'!O26</f>
        <v>0</v>
      </c>
      <c r="E32" s="345">
        <f>'Qredits maandlasten'!O34</f>
        <v>0</v>
      </c>
      <c r="F32" s="266"/>
      <c r="G32" s="266"/>
      <c r="H32" s="266"/>
      <c r="I32" s="266"/>
      <c r="J32" s="266"/>
    </row>
    <row r="33" spans="2:10" ht="14.25" customHeight="1" x14ac:dyDescent="0.25">
      <c r="B33" s="334" t="str">
        <f>Vertaling!A333</f>
        <v>Overige rentelasten</v>
      </c>
      <c r="C33" s="335">
        <f>Liquiditeit!P32</f>
        <v>0</v>
      </c>
      <c r="D33" s="335">
        <f>Liquiditeit!AC32</f>
        <v>0</v>
      </c>
      <c r="E33" s="335">
        <f>Liquiditeit!AP32</f>
        <v>0</v>
      </c>
      <c r="F33" s="266"/>
      <c r="G33" s="266"/>
      <c r="H33" s="266"/>
      <c r="I33" s="266"/>
      <c r="J33" s="266"/>
    </row>
    <row r="34" spans="2:10" ht="14.25" customHeight="1" x14ac:dyDescent="0.25">
      <c r="B34" s="342"/>
      <c r="C34" s="341"/>
      <c r="D34" s="341"/>
      <c r="E34" s="341"/>
      <c r="F34" s="266"/>
      <c r="G34" s="266"/>
      <c r="H34" s="266"/>
      <c r="I34" s="266"/>
      <c r="J34" s="266"/>
    </row>
    <row r="35" spans="2:10" ht="14.25" customHeight="1" x14ac:dyDescent="0.25">
      <c r="B35" s="280" t="str">
        <f>Vertaling!A334</f>
        <v>Winst uit onderneming</v>
      </c>
      <c r="C35" s="347">
        <f>C21-C30-C32-C33</f>
        <v>0</v>
      </c>
      <c r="D35" s="347">
        <f t="shared" ref="D35:E35" si="11">D21-D30-D32-D33</f>
        <v>0</v>
      </c>
      <c r="E35" s="347">
        <f t="shared" si="11"/>
        <v>0</v>
      </c>
      <c r="F35" s="266"/>
      <c r="G35" s="266"/>
      <c r="H35" s="266"/>
      <c r="I35" s="266"/>
      <c r="J35" s="266"/>
    </row>
    <row r="36" spans="2:10" ht="14.25" customHeight="1" x14ac:dyDescent="0.25">
      <c r="B36" s="349"/>
      <c r="C36" s="350"/>
      <c r="D36" s="350"/>
      <c r="E36" s="350"/>
      <c r="F36" s="266"/>
      <c r="G36" s="266"/>
      <c r="H36" s="266"/>
      <c r="I36" s="266"/>
      <c r="J36" s="266"/>
    </row>
    <row r="37" spans="2:10" ht="14.25" customHeight="1" x14ac:dyDescent="0.25">
      <c r="B37" s="349" t="str">
        <f>IF(VRAGENLIJST!$D$4=dropdowns!$A$6,Vertaling!A295,Vertaling!A297)</f>
        <v>Afdracht inkomstenbelasting</v>
      </c>
      <c r="C37" s="350">
        <f>'IB VPB 1'!B9</f>
        <v>0</v>
      </c>
      <c r="D37" s="350">
        <f>'IB VPB 2'!B9</f>
        <v>0</v>
      </c>
      <c r="E37" s="350">
        <f>'IB VPB 3'!B9</f>
        <v>0</v>
      </c>
      <c r="F37" s="266"/>
      <c r="G37" s="266"/>
      <c r="H37" s="266"/>
      <c r="I37" s="266"/>
      <c r="J37" s="266"/>
    </row>
    <row r="38" spans="2:10" ht="14.25" customHeight="1" x14ac:dyDescent="0.25">
      <c r="B38" s="342"/>
      <c r="C38" s="341"/>
      <c r="D38" s="341"/>
      <c r="E38" s="341"/>
      <c r="F38" s="266"/>
      <c r="G38" s="266"/>
      <c r="H38" s="266"/>
      <c r="I38" s="266"/>
      <c r="J38" s="266"/>
    </row>
    <row r="39" spans="2:10" ht="14.25" customHeight="1" x14ac:dyDescent="0.25">
      <c r="B39" s="301" t="str">
        <f>VRAGENLIJST!$D$10</f>
        <v/>
      </c>
      <c r="C39" s="341"/>
      <c r="D39" s="341"/>
      <c r="E39" s="341"/>
      <c r="F39" s="266"/>
      <c r="G39" s="266"/>
      <c r="H39" s="266"/>
      <c r="I39" s="266"/>
      <c r="J39" s="266"/>
    </row>
    <row r="40" spans="2:10" ht="14.25" customHeight="1" x14ac:dyDescent="0.25">
      <c r="B40" s="344" t="str">
        <f>Vertaling!A335</f>
        <v>Winstdeel</v>
      </c>
      <c r="C40" s="345">
        <f>($C$35-$C$37)*IF(VRAGENLIJST!$D$14="",0,VRAGENLIJST!$D$11)</f>
        <v>0</v>
      </c>
      <c r="D40" s="345">
        <f>($D$35-$D$37)*IF(VRAGENLIJST!$D$14="",0,VRAGENLIJST!$D$11)</f>
        <v>0</v>
      </c>
      <c r="E40" s="345">
        <f>($E$35-$E$37)*IF(VRAGENLIJST!$D$14="",0,VRAGENLIJST!$D$11)</f>
        <v>0</v>
      </c>
      <c r="F40" s="343"/>
      <c r="G40" s="266"/>
      <c r="H40" s="266"/>
      <c r="I40" s="266"/>
      <c r="J40" s="266"/>
    </row>
    <row r="41" spans="2:10" ht="15" x14ac:dyDescent="0.25">
      <c r="B41" s="334" t="str">
        <f>IF(VRAGENLIJST!$D$4=dropdowns!$A$6,Vertaling!A295,Vertaling!A297)</f>
        <v>Afdracht inkomstenbelasting</v>
      </c>
      <c r="C41" s="335">
        <f>IF(VRAGENLIJST!D4="B.V.",0,IF(C40&lt;0,0,'IB VPB 1'!$C$10))</f>
        <v>0</v>
      </c>
      <c r="D41" s="335">
        <f>IF(VRAGENLIJST!D4="B.V.",0,IF(D40&lt;0,0,'IB VPB 2'!$C$10))</f>
        <v>0</v>
      </c>
      <c r="E41" s="335">
        <f>IF(VRAGENLIJST!D4="B.V.",0,IF(E40&lt;0,0,'IB VPB 3'!$C$10))</f>
        <v>0</v>
      </c>
      <c r="F41" s="337"/>
      <c r="G41" s="266"/>
    </row>
    <row r="42" spans="2:10" ht="14.25" customHeight="1" x14ac:dyDescent="0.25">
      <c r="B42" s="334" t="str">
        <f>Vertaling!A339</f>
        <v>Privéonttrekking</v>
      </c>
      <c r="C42" s="333">
        <f>IF(OR(VRAGENLIJST!$D$4=dropdowns!$B$6,VRAGENLIJST!$D$4=dropdowns!$C$6,VRAGENLIJST!$D$4=dropdowns!$D$6,VRAGENLIJST!$D$4=dropdowns!$E$6),"", Liquiditeit!$P$39)</f>
        <v>0</v>
      </c>
      <c r="D42" s="333">
        <f>IF(OR(VRAGENLIJST!$D$4=dropdowns!$B$6,VRAGENLIJST!$D$4=dropdowns!$C$6,VRAGENLIJST!$D$4=dropdowns!$D$6,VRAGENLIJST!$D$4=dropdowns!$E$6),"", Liquiditeit!$AC$39)</f>
        <v>0</v>
      </c>
      <c r="E42" s="333">
        <f>IF(OR(VRAGENLIJST!$D$4=dropdowns!$B$6,VRAGENLIJST!$D$4=dropdowns!$C$6,VRAGENLIJST!$D$4=dropdowns!$D$6,VRAGENLIJST!$D$4=dropdowns!$E$6),"", Liquiditeit!$AP$39)</f>
        <v>0</v>
      </c>
      <c r="G42" s="266"/>
    </row>
    <row r="43" spans="2:10" ht="14.25" customHeight="1" x14ac:dyDescent="0.25">
      <c r="B43" s="351"/>
      <c r="C43" s="337"/>
      <c r="D43" s="337"/>
      <c r="E43" s="337"/>
      <c r="G43" s="266"/>
    </row>
    <row r="44" spans="2:10" ht="14.25" customHeight="1" x14ac:dyDescent="0.25">
      <c r="B44" s="301" t="str">
        <f>VRAGENLIJST!$H$10</f>
        <v>Ondernemer:</v>
      </c>
      <c r="C44" s="341"/>
      <c r="D44" s="341"/>
      <c r="E44" s="341"/>
      <c r="F44" s="266"/>
      <c r="G44" s="266"/>
      <c r="H44" s="266"/>
      <c r="I44" s="266"/>
      <c r="J44" s="266"/>
    </row>
    <row r="45" spans="2:10" ht="14.25" customHeight="1" x14ac:dyDescent="0.25">
      <c r="B45" s="344" t="str">
        <f>Vertaling!A335</f>
        <v>Winstdeel</v>
      </c>
      <c r="C45" s="345">
        <f>($C$35-$C$37)*IF(VRAGENLIJST!$D$14="",1,VRAGENLIJST!$H$11)</f>
        <v>0</v>
      </c>
      <c r="D45" s="345">
        <f>($D$35-$D$37)*IF(VRAGENLIJST!$D$14="",1,VRAGENLIJST!$H$11)</f>
        <v>0</v>
      </c>
      <c r="E45" s="345">
        <f>($E$35-$E$37)*IF(VRAGENLIJST!$D$14="",1,VRAGENLIJST!$H$11)</f>
        <v>0</v>
      </c>
      <c r="F45" s="266"/>
      <c r="G45" s="266"/>
      <c r="H45" s="266"/>
      <c r="I45" s="266"/>
      <c r="J45" s="266"/>
    </row>
    <row r="46" spans="2:10" ht="15" x14ac:dyDescent="0.25">
      <c r="B46" s="344" t="str">
        <f>IF(VRAGENLIJST!$D$4=dropdowns!$A$6,Vertaling!A295,Vertaling!A297)</f>
        <v>Afdracht inkomstenbelasting</v>
      </c>
      <c r="C46" s="335">
        <f>IF(OR(VRAGENLIJST!D4=dropdowns!$B$6,VRAGENLIJST!D4=dropdowns!$C$6,VRAGENLIJST!D4=dropdowns!$D$6,VRAGENLIJST!D4=dropdowns!$E$6),0,IF(C45&lt;0,0,'IB VPB 1'!$B$10))</f>
        <v>0</v>
      </c>
      <c r="D46" s="335">
        <f>IF(OR(VRAGENLIJST!D4=dropdowns!$B$6,VRAGENLIJST!D4=dropdowns!$C$6,VRAGENLIJST!D4=dropdowns!$D$6,VRAGENLIJST!D4=dropdowns!$E$6),0,IF(D45&lt;0,0,'IB VPB 2'!$B$10))</f>
        <v>0</v>
      </c>
      <c r="E46" s="335">
        <f>IF(OR(VRAGENLIJST!D4=dropdowns!$B$6,VRAGENLIJST!D4=dropdowns!$C$6,VRAGENLIJST!D4=dropdowns!$D$6,VRAGENLIJST!D4=dropdowns!$E$6),0,IF(E45&lt;0,0,'IB VPB 3'!$B$10))</f>
        <v>0</v>
      </c>
      <c r="G46" s="266"/>
    </row>
    <row r="47" spans="2:10" ht="14.25" customHeight="1" x14ac:dyDescent="0.25">
      <c r="B47" s="344" t="str">
        <f>Vertaling!A339</f>
        <v>Privéonttrekking</v>
      </c>
      <c r="C47" s="333">
        <f>IF(OR(VRAGENLIJST!$D$4=dropdowns!$B$6,VRAGENLIJST!$D$4=dropdowns!$C$6,VRAGENLIJST!$D$4=dropdowns!$D$6,VRAGENLIJST!$D$4=dropdowns!$E$6),"", Liquiditeit!$P$42)</f>
        <v>0</v>
      </c>
      <c r="D47" s="333">
        <f>IF(OR(VRAGENLIJST!$D$4=dropdowns!$B$6,VRAGENLIJST!$D$4=dropdowns!$C$6,VRAGENLIJST!$D$4=dropdowns!$D$6,VRAGENLIJST!$D$4=dropdowns!$E$6),"", Liquiditeit!$AC$42)</f>
        <v>0</v>
      </c>
      <c r="E47" s="333">
        <f>IF(OR(VRAGENLIJST!$D$4=dropdowns!$B$6,VRAGENLIJST!$D$4=dropdowns!$C$6,VRAGENLIJST!$D$4=dropdowns!$D$6,VRAGENLIJST!$D$4=dropdowns!$E$6),"", Liquiditeit!$AP$42)</f>
        <v>0</v>
      </c>
      <c r="F47" s="337"/>
      <c r="G47" s="266"/>
    </row>
    <row r="48" spans="2:10" ht="14.25" customHeight="1" x14ac:dyDescent="0.25">
      <c r="B48" s="351"/>
      <c r="C48" s="341"/>
      <c r="D48" s="341"/>
      <c r="E48" s="341"/>
      <c r="F48" s="337"/>
      <c r="G48" s="266"/>
    </row>
    <row r="49" spans="2:7" ht="14.25" customHeight="1" x14ac:dyDescent="0.25">
      <c r="B49" s="280" t="str">
        <f>IF(VRAGENLIJST!$D$4=dropdowns!$A$6,Vertaling!A340,Vertaling!A341)</f>
        <v>Mutatie eigen vermogen</v>
      </c>
      <c r="C49" s="347">
        <f>IF(OR(VRAGENLIJST!D4=dropdowns!B6,VRAGENLIJST!D4=dropdowns!C6),$C$35-$C$37,IF(OR(VRAGENLIJST!D4=dropdowns!B5,VRAGENLIJST!D4=dropdowns!C5),C35-C41-C42-C46-C47,C35-C37-C46-C47))</f>
        <v>0</v>
      </c>
      <c r="D49" s="347">
        <f>IF(OR(VRAGENLIJST!D4=dropdowns!B6,VRAGENLIJST!D4=dropdowns!C6),$D$35-$D$37,IF(OR(VRAGENLIJST!D4=dropdowns!B5,VRAGENLIJST!D4=dropdowns!C5),D35-D41-D42-D46-D47,D35-D37-D46-D47))</f>
        <v>0</v>
      </c>
      <c r="E49" s="347">
        <f>IF(OR(VRAGENLIJST!D4=dropdowns!B6,VRAGENLIJST!D4=dropdowns!C6),$E$35-$E$37,IF(OR(VRAGENLIJST!D4=dropdowns!B5,VRAGENLIJST!D4=dropdowns!C5),E35-E41-E42-E46-E47,E35-E37-E46-E47))</f>
        <v>0</v>
      </c>
      <c r="G49" s="266"/>
    </row>
    <row r="50" spans="2:7" ht="14.25" customHeight="1" x14ac:dyDescent="0.25">
      <c r="G50" s="266"/>
    </row>
    <row r="52" spans="2:7" ht="14.25" customHeight="1" x14ac:dyDescent="0.25">
      <c r="C52" s="337"/>
    </row>
  </sheetData>
  <sheetProtection algorithmName="SHA-512" hashValue="PHLblgoVRSLwOakd5I7S/+y76vu7hycXtDzRzorRhZsSv8GR2AL++4aaOjxyIL1klE0NOZBzRxx8OiXURJTINg==" saltValue="ZGIEdw2x/+ULhf+3cDHSwg==" spinCount="100000" sheet="1" formatColumns="0"/>
  <hyperlinks>
    <hyperlink ref="D1" r:id="rId1" display="wat is dit?" xr:uid="{86BC438F-EF2F-48E6-9686-7F3794ECB32E}"/>
  </hyperlinks>
  <pageMargins left="0.74803149606299213" right="0.74803149606299213" top="0.98425196850393704" bottom="0.98425196850393704" header="0.51181102362204722" footer="0.51181102362204722"/>
  <pageSetup paperSize="9" scale="75" firstPageNumber="0" fitToHeight="0" orientation="landscape" horizontalDpi="300" verticalDpi="300" r:id="rId2"/>
  <headerFooter alignWithMargins="0"/>
  <drawing r:id="rId3"/>
  <extLst>
    <ext xmlns:x14="http://schemas.microsoft.com/office/spreadsheetml/2009/9/main" uri="{78C0D931-6437-407d-A8EE-F0AAD7539E65}">
      <x14:conditionalFormattings>
        <x14:conditionalFormatting xmlns:xm="http://schemas.microsoft.com/office/excel/2006/main">
          <x14:cfRule type="expression" priority="7" id="{1EEB2E78-702F-4AF9-B84D-BDA8892E55C2}">
            <xm:f>VRAGENLIJST!$D$4="Eenmanszaak"</xm:f>
            <x14:dxf>
              <font>
                <color theme="0"/>
              </font>
              <fill>
                <patternFill>
                  <fgColor theme="0"/>
                  <bgColor theme="0"/>
                </patternFill>
              </fill>
              <border>
                <left/>
                <right/>
                <top/>
                <bottom/>
                <vertical/>
                <horizontal/>
              </border>
            </x14:dxf>
          </x14:cfRule>
          <xm:sqref>A36:XFD37</xm:sqref>
        </x14:conditionalFormatting>
        <x14:conditionalFormatting xmlns:xm="http://schemas.microsoft.com/office/excel/2006/main">
          <x14:cfRule type="expression" priority="23" id="{BB110FAF-BDD6-44E6-A315-6AAC99F8AFD4}">
            <xm:f>VRAGENLIJST!$D$4&lt;&gt;"B.V."</xm:f>
            <x14:dxf>
              <font>
                <color theme="0"/>
              </font>
              <fill>
                <patternFill>
                  <fgColor theme="0"/>
                  <bgColor theme="0"/>
                </patternFill>
              </fill>
              <border>
                <left/>
                <right/>
                <top/>
                <bottom/>
                <vertical/>
                <horizontal/>
              </border>
            </x14:dxf>
          </x14:cfRule>
          <xm:sqref>B23:E23</xm:sqref>
        </x14:conditionalFormatting>
        <x14:conditionalFormatting xmlns:xm="http://schemas.microsoft.com/office/excel/2006/main">
          <x14:cfRule type="expression" priority="1" id="{DFB121FD-5201-47AD-A493-DE9D46BF3D22}">
            <xm:f>VRAGENLIJST!$D$14=""</xm:f>
            <x14:dxf>
              <font>
                <color theme="0"/>
              </font>
              <fill>
                <patternFill>
                  <fgColor theme="0"/>
                  <bgColor theme="0"/>
                </patternFill>
              </fill>
              <border>
                <left/>
                <right/>
                <top/>
                <bottom/>
                <vertical/>
                <horizontal/>
              </border>
            </x14:dxf>
          </x14:cfRule>
          <xm:sqref>B39:E42</xm:sqref>
        </x14:conditionalFormatting>
        <x14:conditionalFormatting xmlns:xm="http://schemas.microsoft.com/office/excel/2006/main">
          <x14:cfRule type="expression" priority="22" id="{0F6A3E15-236E-4F6B-88BA-C0D74FCE53FE}">
            <xm:f>VRAGENLIJST!$D$4="B.V."</xm:f>
            <x14:dxf>
              <font>
                <color theme="0"/>
              </font>
              <fill>
                <patternFill>
                  <fgColor theme="0"/>
                </patternFill>
              </fill>
              <border>
                <left/>
                <right/>
                <top/>
                <bottom/>
                <vertical/>
                <horizontal/>
              </border>
            </x14:dxf>
          </x14:cfRule>
          <xm:sqref>B42:E42 B47:E47</xm:sqref>
        </x14:conditionalFormatting>
        <x14:conditionalFormatting xmlns:xm="http://schemas.microsoft.com/office/excel/2006/main">
          <x14:cfRule type="expression" priority="21" id="{2FA080D8-00AC-4DC1-9C6C-B0BD02F06978}">
            <xm:f>VRAGENLIJST!$D$4="B.V."</xm:f>
            <x14:dxf>
              <font>
                <color theme="0"/>
              </font>
              <fill>
                <patternFill>
                  <fgColor theme="0"/>
                </patternFill>
              </fill>
              <border>
                <left/>
                <right/>
                <top/>
                <vertical/>
                <horizontal/>
              </border>
            </x14:dxf>
          </x14:cfRule>
          <xm:sqref>G8:J8</xm:sqref>
        </x14:conditionalFormatting>
        <x14:conditionalFormatting xmlns:xm="http://schemas.microsoft.com/office/excel/2006/main">
          <x14:cfRule type="expression" priority="5" id="{F951FC41-AE1B-451A-801E-06E7AA5BA732}">
            <xm:f>VRAGENLIJST!$D$4=dropdowns!$A$6</xm:f>
            <x14:dxf>
              <font>
                <color theme="0"/>
              </font>
              <fill>
                <patternFill>
                  <bgColor theme="0"/>
                </patternFill>
              </fill>
            </x14:dxf>
          </x14:cfRule>
          <xm:sqref>H8:J8</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6">
    <tabColor rgb="FF232572"/>
    <pageSetUpPr fitToPage="1"/>
  </sheetPr>
  <dimension ref="A1:R94"/>
  <sheetViews>
    <sheetView zoomScaleNormal="100" workbookViewId="0">
      <selection activeCell="B1" sqref="B1"/>
    </sheetView>
  </sheetViews>
  <sheetFormatPr defaultRowHeight="15" x14ac:dyDescent="0.25"/>
  <cols>
    <col min="1" max="1" width="3.5703125" style="3" customWidth="1"/>
    <col min="2" max="2" width="25.7109375" style="261" customWidth="1"/>
    <col min="3" max="14" width="12.7109375" style="261" customWidth="1"/>
    <col min="15" max="15" width="15.85546875" style="261" customWidth="1"/>
    <col min="16" max="16" width="2.7109375" style="388" customWidth="1"/>
    <col min="17" max="17" width="3.140625" style="261" customWidth="1"/>
    <col min="18" max="18" width="25.42578125" style="261" customWidth="1"/>
    <col min="19" max="20" width="9.140625" style="261"/>
    <col min="21" max="21" width="9.28515625" style="261" customWidth="1"/>
    <col min="22" max="16384" width="9.140625" style="261"/>
  </cols>
  <sheetData>
    <row r="1" spans="1:16" s="3" customFormat="1" ht="93" customHeight="1" x14ac:dyDescent="0.25">
      <c r="B1" s="352" t="str">
        <f>Vertaling!A353</f>
        <v>Qredits maandlasten</v>
      </c>
    </row>
    <row r="2" spans="1:16" s="3" customFormat="1" ht="18.75" customHeight="1" x14ac:dyDescent="0.25">
      <c r="B2" s="353" t="str">
        <f>Vertaling!A354</f>
        <v>Indicatie op basis van de door jou ingevulde investerings- en financieringsbegroting</v>
      </c>
      <c r="D2" s="14"/>
    </row>
    <row r="3" spans="1:16" x14ac:dyDescent="0.25">
      <c r="B3" s="354" t="str">
        <f>Vertaling!A355</f>
        <v>Looptijd in jaren</v>
      </c>
      <c r="C3" s="355">
        <f>'Investering &amp; Financiering'!C23</f>
        <v>0</v>
      </c>
      <c r="E3" s="290"/>
      <c r="F3" s="266"/>
      <c r="G3" s="356" t="str">
        <f>IF('Qredits maandlasten'!$C$10="Annuïteit",Vertaling!A370,IF('Qredits maandlasten'!$C$10="Lineair",Vertaling!A371,""))</f>
        <v>Bedrag annuïteit</v>
      </c>
      <c r="H3" s="357"/>
      <c r="I3" s="357"/>
      <c r="J3" s="358" t="e">
        <f>PMT(C7/12,C4-'Investering &amp; Financiering'!C25,-C5)</f>
        <v>#NUM!</v>
      </c>
      <c r="L3" s="359"/>
      <c r="M3" s="359"/>
      <c r="N3" s="359"/>
      <c r="O3" s="359"/>
      <c r="P3" s="261"/>
    </row>
    <row r="4" spans="1:16" x14ac:dyDescent="0.2">
      <c r="A4" s="1"/>
      <c r="B4" s="360" t="str">
        <f>Vertaling!A356</f>
        <v>Looptijd in maanden</v>
      </c>
      <c r="C4" s="361">
        <f>C3*12</f>
        <v>0</v>
      </c>
      <c r="D4" s="290"/>
      <c r="E4" s="290"/>
      <c r="F4" s="290"/>
      <c r="G4" s="362" t="str">
        <f>Vertaling!A372</f>
        <v>Totaal betaald gedurende de looptijd</v>
      </c>
      <c r="H4" s="363"/>
      <c r="I4" s="363"/>
      <c r="J4" s="364">
        <f>O20+O28+O36+O44+O52+O60+O68+O76+O84+O92</f>
        <v>0</v>
      </c>
      <c r="L4" s="365"/>
      <c r="M4" s="365"/>
      <c r="N4" s="365"/>
      <c r="O4" s="365"/>
      <c r="P4" s="261"/>
    </row>
    <row r="5" spans="1:16" x14ac:dyDescent="0.25">
      <c r="B5" s="360" t="str">
        <f>Vertaling!A357</f>
        <v>Lening</v>
      </c>
      <c r="C5" s="366">
        <f>'Investering &amp; Financiering'!C20</f>
        <v>0</v>
      </c>
      <c r="D5" s="290"/>
      <c r="E5" s="290"/>
      <c r="F5" s="290"/>
      <c r="G5" s="362" t="str">
        <f>Vertaling!A373</f>
        <v>Totaal aflossing</v>
      </c>
      <c r="H5" s="363"/>
      <c r="I5" s="363"/>
      <c r="J5" s="364">
        <f>O18+O27+O35+O43+O51+O59+O67+O75+O83+O91</f>
        <v>0</v>
      </c>
      <c r="K5" s="367"/>
      <c r="L5" s="365"/>
      <c r="M5" s="365"/>
      <c r="N5" s="365"/>
      <c r="O5" s="365"/>
      <c r="P5" s="261"/>
    </row>
    <row r="6" spans="1:16" x14ac:dyDescent="0.25">
      <c r="B6" s="360" t="str">
        <f>Vertaling!A358</f>
        <v>Afsluitkosten</v>
      </c>
      <c r="C6" s="368">
        <f>IF(C5&lt;1000,0,IF(C5&lt;=5000,375,IF(C5&lt;=15000,550,IF(C5&lt;=35000,725,IF(C5&lt;=50000,950,C5*0.0165)))))</f>
        <v>0</v>
      </c>
      <c r="D6" s="290"/>
      <c r="E6" s="290"/>
      <c r="F6" s="290"/>
      <c r="G6" s="362" t="str">
        <f>Vertaling!A374</f>
        <v>Totaal rente</v>
      </c>
      <c r="H6" s="363"/>
      <c r="I6" s="363"/>
      <c r="J6" s="364">
        <f>O17+O26+O34+O42+O50+O58+O66+O74+O82+O90</f>
        <v>0</v>
      </c>
      <c r="L6" s="365"/>
      <c r="M6" s="365"/>
      <c r="N6" s="365"/>
      <c r="O6" s="365"/>
      <c r="P6" s="261"/>
    </row>
    <row r="7" spans="1:16" x14ac:dyDescent="0.25">
      <c r="B7" s="360" t="str">
        <f>Vertaling!A359</f>
        <v>Rente % per jaar</v>
      </c>
      <c r="C7" s="369">
        <f>'Investering &amp; Financiering'!H21</f>
        <v>0.1095</v>
      </c>
      <c r="D7" s="290"/>
      <c r="E7" s="290"/>
      <c r="F7" s="290"/>
      <c r="G7" s="362" t="str">
        <f>Vertaling!A375</f>
        <v>Totaal afsluitkosten</v>
      </c>
      <c r="H7" s="363"/>
      <c r="I7" s="363"/>
      <c r="J7" s="364">
        <f>O19</f>
        <v>0</v>
      </c>
      <c r="L7" s="365"/>
      <c r="M7" s="365"/>
      <c r="N7" s="365"/>
      <c r="O7" s="365"/>
      <c r="P7" s="261"/>
    </row>
    <row r="8" spans="1:16" x14ac:dyDescent="0.25">
      <c r="B8" s="360" t="str">
        <f>Vertaling!A360</f>
        <v>Rente % per maand</v>
      </c>
      <c r="C8" s="369">
        <f>C7/12</f>
        <v>9.1249999999999994E-3</v>
      </c>
      <c r="D8" s="290"/>
      <c r="E8" s="290"/>
      <c r="F8" s="290"/>
      <c r="G8" s="290"/>
      <c r="H8" s="290"/>
      <c r="I8" s="290"/>
      <c r="J8" s="290"/>
      <c r="K8" s="370"/>
      <c r="L8" s="365"/>
      <c r="M8" s="365"/>
      <c r="N8" s="365"/>
      <c r="O8" s="365"/>
      <c r="P8" s="261"/>
    </row>
    <row r="9" spans="1:16" hidden="1" x14ac:dyDescent="0.25">
      <c r="B9" s="360" t="str">
        <f>Vertaling!A361</f>
        <v>Aflossing per maand</v>
      </c>
      <c r="C9" s="371" t="e">
        <f>C5/(C4-C11)</f>
        <v>#DIV/0!</v>
      </c>
      <c r="D9" s="290"/>
      <c r="E9" s="290"/>
      <c r="F9" s="290"/>
      <c r="G9" s="362" t="s">
        <v>53</v>
      </c>
      <c r="H9" s="363"/>
      <c r="I9" s="363"/>
      <c r="J9" s="369">
        <f ca="1">IFERROR(XIRR(Cashflow_met_kosten,Datums,0.001),0)</f>
        <v>0</v>
      </c>
      <c r="K9" s="370"/>
      <c r="L9" s="365"/>
      <c r="M9" s="365"/>
      <c r="N9" s="365"/>
      <c r="O9" s="365"/>
      <c r="P9" s="261"/>
    </row>
    <row r="10" spans="1:16" x14ac:dyDescent="0.25">
      <c r="B10" s="360" t="str">
        <f>Vertaling!A362</f>
        <v>Aflosmethode</v>
      </c>
      <c r="C10" s="371" t="str">
        <f>IF('Investering &amp; Financiering'!$C$27="",dropdowns!$A$120,'Investering &amp; Financiering'!$C$27)</f>
        <v>Annuïteit</v>
      </c>
      <c r="D10" s="290"/>
      <c r="E10" s="290"/>
      <c r="F10" s="290"/>
      <c r="G10" s="362" t="str">
        <f>Vertaling!A376</f>
        <v>Effectieve rente</v>
      </c>
      <c r="H10" s="363"/>
      <c r="I10" s="363"/>
      <c r="J10" s="369">
        <f ca="1">MIN(((1+J9)^(1/365)-1)*365,1)</f>
        <v>0</v>
      </c>
      <c r="K10" s="370"/>
      <c r="L10" s="365"/>
      <c r="M10" s="365"/>
      <c r="N10" s="365"/>
      <c r="O10" s="365"/>
      <c r="P10" s="261"/>
    </row>
    <row r="11" spans="1:16" x14ac:dyDescent="0.25">
      <c r="B11" s="360" t="str">
        <f>Vertaling!A363</f>
        <v>Maand 1e aflossing</v>
      </c>
      <c r="C11" s="372">
        <f>'Investering &amp; Financiering'!C25</f>
        <v>0</v>
      </c>
      <c r="D11" s="290"/>
      <c r="E11" s="290"/>
      <c r="F11" s="290"/>
      <c r="K11" s="370"/>
      <c r="L11" s="365"/>
      <c r="M11" s="365"/>
      <c r="N11" s="365"/>
      <c r="O11" s="365"/>
      <c r="P11" s="261"/>
    </row>
    <row r="12" spans="1:16" x14ac:dyDescent="0.25">
      <c r="B12" s="365"/>
      <c r="C12" s="373"/>
      <c r="D12" s="365"/>
      <c r="E12" s="365"/>
      <c r="F12" s="365"/>
      <c r="G12" s="365"/>
      <c r="H12" s="365"/>
      <c r="I12" s="365"/>
      <c r="J12" s="365"/>
      <c r="K12" s="365"/>
      <c r="L12" s="365"/>
      <c r="M12" s="365"/>
      <c r="N12" s="365"/>
      <c r="O12" s="365"/>
      <c r="P12" s="261"/>
    </row>
    <row r="13" spans="1:16" x14ac:dyDescent="0.25">
      <c r="B13" s="374" t="str">
        <f>Vertaling!$A$364&amp;N13/12</f>
        <v>Jaar 1</v>
      </c>
      <c r="C13" s="375">
        <v>1</v>
      </c>
      <c r="D13" s="375">
        <f t="shared" ref="D13:N13" si="0">C13+1</f>
        <v>2</v>
      </c>
      <c r="E13" s="375">
        <f t="shared" si="0"/>
        <v>3</v>
      </c>
      <c r="F13" s="375">
        <f t="shared" si="0"/>
        <v>4</v>
      </c>
      <c r="G13" s="375">
        <f t="shared" si="0"/>
        <v>5</v>
      </c>
      <c r="H13" s="375">
        <f t="shared" si="0"/>
        <v>6</v>
      </c>
      <c r="I13" s="375">
        <f t="shared" si="0"/>
        <v>7</v>
      </c>
      <c r="J13" s="375">
        <f t="shared" si="0"/>
        <v>8</v>
      </c>
      <c r="K13" s="375">
        <f t="shared" si="0"/>
        <v>9</v>
      </c>
      <c r="L13" s="375">
        <f t="shared" si="0"/>
        <v>10</v>
      </c>
      <c r="M13" s="375">
        <f t="shared" si="0"/>
        <v>11</v>
      </c>
      <c r="N13" s="375">
        <f t="shared" si="0"/>
        <v>12</v>
      </c>
      <c r="O13" s="375" t="s">
        <v>54</v>
      </c>
      <c r="P13" s="261"/>
    </row>
    <row r="14" spans="1:16" x14ac:dyDescent="0.25">
      <c r="B14" s="376"/>
      <c r="C14" s="377"/>
      <c r="D14" s="377"/>
      <c r="E14" s="377"/>
      <c r="F14" s="377"/>
      <c r="G14" s="377"/>
      <c r="H14" s="377"/>
      <c r="I14" s="377"/>
      <c r="J14" s="377"/>
      <c r="K14" s="377"/>
      <c r="L14" s="377"/>
      <c r="M14" s="377"/>
      <c r="N14" s="377"/>
      <c r="O14" s="377"/>
      <c r="P14" s="261"/>
    </row>
    <row r="15" spans="1:16" x14ac:dyDescent="0.25">
      <c r="B15" s="378" t="str">
        <f>Vertaling!$A$365</f>
        <v>Bedrag lening begin maand</v>
      </c>
      <c r="C15" s="379">
        <f>C5</f>
        <v>0</v>
      </c>
      <c r="D15" s="380">
        <f t="shared" ref="D15:N15" si="1">C15-C18</f>
        <v>0</v>
      </c>
      <c r="E15" s="380">
        <f t="shared" si="1"/>
        <v>0</v>
      </c>
      <c r="F15" s="380">
        <f t="shared" si="1"/>
        <v>0</v>
      </c>
      <c r="G15" s="380">
        <f t="shared" si="1"/>
        <v>0</v>
      </c>
      <c r="H15" s="380">
        <f t="shared" si="1"/>
        <v>0</v>
      </c>
      <c r="I15" s="380">
        <f t="shared" si="1"/>
        <v>0</v>
      </c>
      <c r="J15" s="380">
        <f t="shared" si="1"/>
        <v>0</v>
      </c>
      <c r="K15" s="380">
        <f t="shared" si="1"/>
        <v>0</v>
      </c>
      <c r="L15" s="380">
        <f t="shared" si="1"/>
        <v>0</v>
      </c>
      <c r="M15" s="380">
        <f t="shared" si="1"/>
        <v>0</v>
      </c>
      <c r="N15" s="380">
        <f t="shared" si="1"/>
        <v>0</v>
      </c>
      <c r="O15" s="381"/>
      <c r="P15" s="261"/>
    </row>
    <row r="16" spans="1:16" x14ac:dyDescent="0.25">
      <c r="B16" s="378"/>
      <c r="C16" s="378"/>
      <c r="D16" s="378"/>
      <c r="E16" s="378"/>
      <c r="F16" s="378"/>
      <c r="G16" s="378"/>
      <c r="H16" s="378"/>
      <c r="I16" s="378"/>
      <c r="J16" s="378"/>
      <c r="K16" s="378"/>
      <c r="L16" s="378"/>
      <c r="M16" s="378"/>
      <c r="N16" s="378"/>
      <c r="O16" s="378"/>
      <c r="P16" s="261"/>
    </row>
    <row r="17" spans="2:16" x14ac:dyDescent="0.25">
      <c r="B17" s="378" t="str">
        <f>Vertaling!$A$366</f>
        <v>Kosten rente per maand</v>
      </c>
      <c r="C17" s="380">
        <f>IF(C15&lt;0.001,0,$C$8*C15)</f>
        <v>0</v>
      </c>
      <c r="D17" s="380">
        <f t="shared" ref="D17:N17" si="2">IF(D15&lt;0.001,0,$C$8*D15)</f>
        <v>0</v>
      </c>
      <c r="E17" s="380">
        <f t="shared" si="2"/>
        <v>0</v>
      </c>
      <c r="F17" s="380">
        <f t="shared" si="2"/>
        <v>0</v>
      </c>
      <c r="G17" s="380">
        <f t="shared" si="2"/>
        <v>0</v>
      </c>
      <c r="H17" s="380">
        <f t="shared" si="2"/>
        <v>0</v>
      </c>
      <c r="I17" s="380">
        <f t="shared" si="2"/>
        <v>0</v>
      </c>
      <c r="J17" s="380">
        <f t="shared" si="2"/>
        <v>0</v>
      </c>
      <c r="K17" s="380">
        <f t="shared" si="2"/>
        <v>0</v>
      </c>
      <c r="L17" s="380">
        <f t="shared" si="2"/>
        <v>0</v>
      </c>
      <c r="M17" s="380">
        <f t="shared" si="2"/>
        <v>0</v>
      </c>
      <c r="N17" s="380">
        <f t="shared" si="2"/>
        <v>0</v>
      </c>
      <c r="O17" s="381">
        <f>SUM(C17:N17)</f>
        <v>0</v>
      </c>
      <c r="P17" s="261"/>
    </row>
    <row r="18" spans="2:16" x14ac:dyDescent="0.25">
      <c r="B18" s="378" t="str">
        <f>Vertaling!$A$367</f>
        <v>Aflossing per maand</v>
      </c>
      <c r="C18" s="380">
        <f>IF(C15&lt;0.001,0,IF(C13&lt;($C$11+1),0,IF(OR($C$10=dropdowns!$B$121,$C$10=dropdowns!$C$121,$C$10=dropdowns!$D$121,$C$10=dropdowns!$E$121),$C$9,IF(OR($C$10=dropdowns!$B$120,$C$10=dropdowns!$C$120,$C$10=dropdowns!$D$120,$C$10=dropdowns!$E$120),IFERROR((C17/(1-(1+$C$7/12)^-($C$4-0)))-C17,0),0))))</f>
        <v>0</v>
      </c>
      <c r="D18" s="380">
        <f>IF(D15&lt;0.001,0,IF(D13&lt;$C$11+1,0,IF(OR($C$10=dropdowns!$B$121,$C$10=dropdowns!$C$121,$C$10=dropdowns!$D$121,$C$10=dropdowns!$E$121),$C$9,IF(OR($C$10=dropdowns!$B$120,$C$10=dropdowns!$C$120,$C$10=dropdowns!$D$120,$C$10=dropdowns!$E$120),IFERROR((D17/(1-(1+$C$7/12)^-($C$4-C13)))-D17,0),0))))</f>
        <v>0</v>
      </c>
      <c r="E18" s="380">
        <f>IF(E15&lt;0.001,0,IF(E13&lt;$C$11+1,0,IF(OR($C$10=dropdowns!$B$121,$C$10=dropdowns!$C$121,$C$10=dropdowns!$D$121,$C$10=dropdowns!$E$121),$C$9,IF(OR($C$10=dropdowns!$B$120,$C$10=dropdowns!$C$120,$C$10=dropdowns!$D$120,$C$10=dropdowns!$E$120),IFERROR((E17/(1-(1+$C$7/12)^-($C$4-D13)))-E17,0),0))))</f>
        <v>0</v>
      </c>
      <c r="F18" s="380">
        <f>IF(F15&lt;0.001,0,IF(F13&lt;$C$11+1,0,IF(OR($C$10=dropdowns!$B$121,$C$10=dropdowns!$C$121,$C$10=dropdowns!$D$121,$C$10=dropdowns!$E$121),$C$9,IF(OR($C$10=dropdowns!$B$120,$C$10=dropdowns!$C$120,$C$10=dropdowns!$D$120,$C$10=dropdowns!$E$120),IFERROR((F17/(1-(1+$C$7/12)^-($C$4-E13)))-F17,0),0))))</f>
        <v>0</v>
      </c>
      <c r="G18" s="380">
        <f>IF(G15&lt;0.001,0,IF(G13&lt;$C$11+1,0,IF(OR($C$10=dropdowns!$B$121,$C$10=dropdowns!$C$121,$C$10=dropdowns!$D$121,$C$10=dropdowns!$E$121),$C$9,IF(OR($C$10=dropdowns!$B$120,$C$10=dropdowns!$C$120,$C$10=dropdowns!$D$120,$C$10=dropdowns!$E$120),IFERROR((G17/(1-(1+$C$7/12)^-($C$4-F13)))-G17,0),0))))</f>
        <v>0</v>
      </c>
      <c r="H18" s="380">
        <f>IF(H15&lt;0.001,0,IF(H13&lt;$C$11+1,0,IF(OR($C$10=dropdowns!$B$121,$C$10=dropdowns!$C$121,$C$10=dropdowns!$D$121,$C$10=dropdowns!$E$121),$C$9,IF(OR($C$10=dropdowns!$B$120,$C$10=dropdowns!$C$120,$C$10=dropdowns!$D$120,$C$10=dropdowns!$E$120),IFERROR((H17/(1-(1+$C$7/12)^-($C$4-G13)))-H17,0),0))))</f>
        <v>0</v>
      </c>
      <c r="I18" s="380">
        <f>IF(I15&lt;0.001,0,IF(I13&lt;$C$11+1,0,IF(OR($C$10=dropdowns!$B$121,$C$10=dropdowns!$C$121,$C$10=dropdowns!$D$121,$C$10=dropdowns!$E$121),$C$9,IF(OR($C$10=dropdowns!$B$120,$C$10=dropdowns!$C$120,$C$10=dropdowns!$D$120,$C$10=dropdowns!$E$120),IFERROR((I17/(1-(1+$C$7/12)^-($C$4-H13)))-I17,0),0))))</f>
        <v>0</v>
      </c>
      <c r="J18" s="380">
        <f>IF(J15&lt;0.001,0,IF(J13&lt;$C$11+1,0,IF(OR($C$10=dropdowns!$B$121,$C$10=dropdowns!$C$121,$C$10=dropdowns!$D$121,$C$10=dropdowns!$E$121),$C$9,IF(OR($C$10=dropdowns!$B$120,$C$10=dropdowns!$C$120,$C$10=dropdowns!$D$120,$C$10=dropdowns!$E$120),IFERROR((J17/(1-(1+$C$7/12)^-($C$4-I13)))-J17,0),0))))</f>
        <v>0</v>
      </c>
      <c r="K18" s="380">
        <f>IF(K15&lt;0.001,0,IF(K13&lt;$C$11+1,0,IF(OR($C$10=dropdowns!$B$121,$C$10=dropdowns!$C$121,$C$10=dropdowns!$D$121,$C$10=dropdowns!$E$121),$C$9,IF(OR($C$10=dropdowns!$B$120,$C$10=dropdowns!$C$120,$C$10=dropdowns!$D$120,$C$10=dropdowns!$E$120),IFERROR((K17/(1-(1+$C$7/12)^-($C$4-J13)))-K17,0),0))))</f>
        <v>0</v>
      </c>
      <c r="L18" s="380">
        <f>IF(L15&lt;0.001,0,IF(L13&lt;$C$11+1,0,IF(OR($C$10=dropdowns!$B$121,$C$10=dropdowns!$C$121,$C$10=dropdowns!$D$121,$C$10=dropdowns!$E$121),$C$9,IF(OR($C$10=dropdowns!$B$120,$C$10=dropdowns!$C$120,$C$10=dropdowns!$D$120,$C$10=dropdowns!$E$120),IFERROR((L17/(1-(1+$C$7/12)^-($C$4-K13)))-L17,0),0))))</f>
        <v>0</v>
      </c>
      <c r="M18" s="380">
        <f>IF(M15&lt;0.001,0,IF(M13&lt;$C$11+1,0,IF(OR($C$10=dropdowns!$B$121,$C$10=dropdowns!$C$121,$C$10=dropdowns!$D$121,$C$10=dropdowns!$E$121),$C$9,IF(OR($C$10=dropdowns!$B$120,$C$10=dropdowns!$C$120,$C$10=dropdowns!$D$120,$C$10=dropdowns!$E$120),IFERROR((M17/(1-(1+$C$7/12)^-($C$4-L13)))-M17,0),0))))</f>
        <v>0</v>
      </c>
      <c r="N18" s="380">
        <f>IF(N15&lt;0.001,0,IF(N13&lt;$C$11+1,0,IF(OR($C$10=dropdowns!$B$121,$C$10=dropdowns!$C$121,$C$10=dropdowns!$D$121,$C$10=dropdowns!$E$121),$C$9,IF(OR($C$10=dropdowns!$B$120,$C$10=dropdowns!$C$120,$C$10=dropdowns!$D$120,$C$10=dropdowns!$E$120),IFERROR((N17/(1-(1+$C$7/12)^-($C$4-M13)))-N17,0),0))))</f>
        <v>0</v>
      </c>
      <c r="O18" s="381">
        <f>SUM(C18:N18)</f>
        <v>0</v>
      </c>
      <c r="P18" s="261"/>
    </row>
    <row r="19" spans="2:16" x14ac:dyDescent="0.25">
      <c r="B19" s="382" t="str">
        <f>Vertaling!$A$368</f>
        <v>Afsluitkosten</v>
      </c>
      <c r="C19" s="383">
        <f>C6</f>
        <v>0</v>
      </c>
      <c r="D19" s="383"/>
      <c r="E19" s="383"/>
      <c r="F19" s="383"/>
      <c r="G19" s="383"/>
      <c r="H19" s="383"/>
      <c r="I19" s="383"/>
      <c r="J19" s="383"/>
      <c r="K19" s="383"/>
      <c r="L19" s="383"/>
      <c r="M19" s="383"/>
      <c r="N19" s="383"/>
      <c r="O19" s="384">
        <f>SUM(C19:N19)</f>
        <v>0</v>
      </c>
      <c r="P19" s="261"/>
    </row>
    <row r="20" spans="2:16" x14ac:dyDescent="0.25">
      <c r="B20" s="385" t="str">
        <f>Vertaling!$A$369</f>
        <v>Te betalen per maand</v>
      </c>
      <c r="C20" s="386">
        <f t="shared" ref="C20:N20" si="3">SUM(C17:C19)</f>
        <v>0</v>
      </c>
      <c r="D20" s="386">
        <f t="shared" si="3"/>
        <v>0</v>
      </c>
      <c r="E20" s="386">
        <f t="shared" si="3"/>
        <v>0</v>
      </c>
      <c r="F20" s="386">
        <f t="shared" si="3"/>
        <v>0</v>
      </c>
      <c r="G20" s="386">
        <f t="shared" si="3"/>
        <v>0</v>
      </c>
      <c r="H20" s="386">
        <f t="shared" si="3"/>
        <v>0</v>
      </c>
      <c r="I20" s="386">
        <f t="shared" si="3"/>
        <v>0</v>
      </c>
      <c r="J20" s="386">
        <f t="shared" si="3"/>
        <v>0</v>
      </c>
      <c r="K20" s="386">
        <f t="shared" si="3"/>
        <v>0</v>
      </c>
      <c r="L20" s="386">
        <f t="shared" si="3"/>
        <v>0</v>
      </c>
      <c r="M20" s="386">
        <f t="shared" si="3"/>
        <v>0</v>
      </c>
      <c r="N20" s="386">
        <f t="shared" si="3"/>
        <v>0</v>
      </c>
      <c r="O20" s="387">
        <f>SUM(C20:N20)</f>
        <v>0</v>
      </c>
      <c r="P20" s="261"/>
    </row>
    <row r="21" spans="2:16" x14ac:dyDescent="0.25">
      <c r="B21" s="359"/>
      <c r="C21" s="359"/>
      <c r="D21" s="359"/>
      <c r="E21" s="359"/>
      <c r="F21" s="359"/>
      <c r="G21" s="359"/>
      <c r="H21" s="359"/>
      <c r="I21" s="359"/>
      <c r="J21" s="359"/>
      <c r="K21" s="359"/>
      <c r="L21" s="359"/>
      <c r="M21" s="359"/>
      <c r="N21" s="359"/>
      <c r="O21" s="359"/>
      <c r="P21" s="261"/>
    </row>
    <row r="22" spans="2:16" x14ac:dyDescent="0.25">
      <c r="B22" s="374" t="str">
        <f>Vertaling!$A$364&amp;N22/12</f>
        <v>Jaar 2</v>
      </c>
      <c r="C22" s="375">
        <f>N13+1</f>
        <v>13</v>
      </c>
      <c r="D22" s="375">
        <f t="shared" ref="D22:N22" si="4">C22+1</f>
        <v>14</v>
      </c>
      <c r="E22" s="375">
        <f t="shared" si="4"/>
        <v>15</v>
      </c>
      <c r="F22" s="375">
        <f t="shared" si="4"/>
        <v>16</v>
      </c>
      <c r="G22" s="375">
        <f t="shared" si="4"/>
        <v>17</v>
      </c>
      <c r="H22" s="375">
        <f t="shared" si="4"/>
        <v>18</v>
      </c>
      <c r="I22" s="375">
        <f t="shared" si="4"/>
        <v>19</v>
      </c>
      <c r="J22" s="375">
        <f t="shared" si="4"/>
        <v>20</v>
      </c>
      <c r="K22" s="375">
        <f t="shared" si="4"/>
        <v>21</v>
      </c>
      <c r="L22" s="375">
        <f t="shared" si="4"/>
        <v>22</v>
      </c>
      <c r="M22" s="375">
        <f t="shared" si="4"/>
        <v>23</v>
      </c>
      <c r="N22" s="375">
        <f t="shared" si="4"/>
        <v>24</v>
      </c>
      <c r="O22" s="375" t="s">
        <v>54</v>
      </c>
      <c r="P22" s="261"/>
    </row>
    <row r="23" spans="2:16" x14ac:dyDescent="0.25">
      <c r="B23" s="376"/>
      <c r="C23" s="377"/>
      <c r="D23" s="377"/>
      <c r="E23" s="377"/>
      <c r="F23" s="377"/>
      <c r="G23" s="377"/>
      <c r="H23" s="377"/>
      <c r="I23" s="377"/>
      <c r="J23" s="377"/>
      <c r="K23" s="377"/>
      <c r="L23" s="377"/>
      <c r="M23" s="377"/>
      <c r="N23" s="377"/>
      <c r="O23" s="377"/>
      <c r="P23" s="261"/>
    </row>
    <row r="24" spans="2:16" x14ac:dyDescent="0.25">
      <c r="B24" s="378" t="str">
        <f>Vertaling!$A$365</f>
        <v>Bedrag lening begin maand</v>
      </c>
      <c r="C24" s="379">
        <f>N15-N18</f>
        <v>0</v>
      </c>
      <c r="D24" s="380">
        <f t="shared" ref="D24:N24" si="5">C24-C27</f>
        <v>0</v>
      </c>
      <c r="E24" s="380">
        <f t="shared" si="5"/>
        <v>0</v>
      </c>
      <c r="F24" s="380">
        <f t="shared" si="5"/>
        <v>0</v>
      </c>
      <c r="G24" s="380">
        <f t="shared" si="5"/>
        <v>0</v>
      </c>
      <c r="H24" s="380">
        <f t="shared" si="5"/>
        <v>0</v>
      </c>
      <c r="I24" s="380">
        <f t="shared" si="5"/>
        <v>0</v>
      </c>
      <c r="J24" s="380">
        <f t="shared" si="5"/>
        <v>0</v>
      </c>
      <c r="K24" s="380">
        <f t="shared" si="5"/>
        <v>0</v>
      </c>
      <c r="L24" s="380">
        <f t="shared" si="5"/>
        <v>0</v>
      </c>
      <c r="M24" s="380">
        <f t="shared" si="5"/>
        <v>0</v>
      </c>
      <c r="N24" s="380">
        <f t="shared" si="5"/>
        <v>0</v>
      </c>
      <c r="O24" s="381"/>
      <c r="P24" s="261"/>
    </row>
    <row r="25" spans="2:16" x14ac:dyDescent="0.25">
      <c r="B25" s="378"/>
      <c r="C25" s="378"/>
      <c r="D25" s="378"/>
      <c r="E25" s="378"/>
      <c r="F25" s="378"/>
      <c r="G25" s="378"/>
      <c r="H25" s="378"/>
      <c r="I25" s="378"/>
      <c r="J25" s="378"/>
      <c r="K25" s="378"/>
      <c r="L25" s="378"/>
      <c r="M25" s="378"/>
      <c r="N25" s="378"/>
      <c r="O25" s="378"/>
      <c r="P25" s="261"/>
    </row>
    <row r="26" spans="2:16" x14ac:dyDescent="0.25">
      <c r="B26" s="378" t="str">
        <f>Vertaling!$A$366</f>
        <v>Kosten rente per maand</v>
      </c>
      <c r="C26" s="380">
        <f t="shared" ref="C26:N26" si="6">IF(C24&lt;0.001,0,$C$8*C24)</f>
        <v>0</v>
      </c>
      <c r="D26" s="380">
        <f t="shared" si="6"/>
        <v>0</v>
      </c>
      <c r="E26" s="380">
        <f t="shared" si="6"/>
        <v>0</v>
      </c>
      <c r="F26" s="380">
        <f t="shared" si="6"/>
        <v>0</v>
      </c>
      <c r="G26" s="380">
        <f t="shared" si="6"/>
        <v>0</v>
      </c>
      <c r="H26" s="380">
        <f t="shared" si="6"/>
        <v>0</v>
      </c>
      <c r="I26" s="380">
        <f t="shared" si="6"/>
        <v>0</v>
      </c>
      <c r="J26" s="380">
        <f t="shared" si="6"/>
        <v>0</v>
      </c>
      <c r="K26" s="380">
        <f t="shared" si="6"/>
        <v>0</v>
      </c>
      <c r="L26" s="380">
        <f t="shared" si="6"/>
        <v>0</v>
      </c>
      <c r="M26" s="380">
        <f t="shared" si="6"/>
        <v>0</v>
      </c>
      <c r="N26" s="380">
        <f t="shared" si="6"/>
        <v>0</v>
      </c>
      <c r="O26" s="381">
        <f>SUM(C26:N26)</f>
        <v>0</v>
      </c>
      <c r="P26" s="261"/>
    </row>
    <row r="27" spans="2:16" x14ac:dyDescent="0.25">
      <c r="B27" s="378" t="str">
        <f>Vertaling!$A$367</f>
        <v>Aflossing per maand</v>
      </c>
      <c r="C27" s="380">
        <f>IF(C24&lt;0.001,0,IF(C22&lt;$C$11,0,IF(OR($C$10=dropdowns!$B$121,$C$10=dropdowns!$C$121,$C$10=dropdowns!$D$121,$C$10=dropdowns!$E$121),$C$9,IF(OR($C$10=dropdowns!$B$120,$C$10=dropdowns!$C$120,$C$10=dropdowns!$D$120,$C$10=dropdowns!$E$120),IFERROR((C26/(1-(1+$C$7/12)^-($C$4-N13)))-C26,0),0))))</f>
        <v>0</v>
      </c>
      <c r="D27" s="380">
        <f>IF(D24&lt;0.001,0,IF(D22&lt;$C$11,0,IF(OR($C$10=dropdowns!$B$121,$C$10=dropdowns!$C$121,$C$10=dropdowns!$D$121,$C$10=dropdowns!$E$121),$C$9,IF(OR($C$10=dropdowns!$B$120,$C$10=dropdowns!$C$120,$C$10=dropdowns!$D$120,$C$10=dropdowns!$E$120),IFERROR((D26/(1-(1+$C$7/12)^-($C$4-C22)))-D26,0),0))))</f>
        <v>0</v>
      </c>
      <c r="E27" s="380">
        <f>IF(E24&lt;0.001,0,IF(E22&lt;$C$11,0,IF(OR($C$10=dropdowns!$B$121,$C$10=dropdowns!$C$121,$C$10=dropdowns!$D$121,$C$10=dropdowns!$E$121),$C$9,IF(OR($C$10=dropdowns!$B$120,$C$10=dropdowns!$C$120,$C$10=dropdowns!$D$120,$C$10=dropdowns!$E$120),IFERROR((E26/(1-(1+$C$7/12)^-($C$4-D22)))-E26,0),0))))</f>
        <v>0</v>
      </c>
      <c r="F27" s="380">
        <f>IF(F24&lt;0.001,0,IF(F22&lt;$C$11,0,IF(OR($C$10=dropdowns!$B$121,$C$10=dropdowns!$C$121,$C$10=dropdowns!$D$121,$C$10=dropdowns!$E$121),$C$9,IF(OR($C$10=dropdowns!$B$120,$C$10=dropdowns!$C$120,$C$10=dropdowns!$D$120,$C$10=dropdowns!$E$120),IFERROR((F26/(1-(1+$C$7/12)^-($C$4-E22)))-F26,0),0))))</f>
        <v>0</v>
      </c>
      <c r="G27" s="380">
        <f>IF(G24&lt;0.001,0,IF(G22&lt;$C$11,0,IF(OR($C$10=dropdowns!$B$121,$C$10=dropdowns!$C$121,$C$10=dropdowns!$D$121,$C$10=dropdowns!$E$121),$C$9,IF(OR($C$10=dropdowns!$B$120,$C$10=dropdowns!$C$120,$C$10=dropdowns!$D$120,$C$10=dropdowns!$E$120),IFERROR((G26/(1-(1+$C$7/12)^-($C$4-F22)))-G26,0),0))))</f>
        <v>0</v>
      </c>
      <c r="H27" s="380">
        <f>IF(H24&lt;0.001,0,IF(H22&lt;$C$11,0,IF(OR($C$10=dropdowns!$B$121,$C$10=dropdowns!$C$121,$C$10=dropdowns!$D$121,$C$10=dropdowns!$E$121),$C$9,IF(OR($C$10=dropdowns!$B$120,$C$10=dropdowns!$C$120,$C$10=dropdowns!$D$120,$C$10=dropdowns!$E$120),IFERROR((H26/(1-(1+$C$7/12)^-($C$4-G22)))-H26,0),0))))</f>
        <v>0</v>
      </c>
      <c r="I27" s="380">
        <f>IF(I24&lt;0.001,0,IF(I22&lt;$C$11,0,IF(OR($C$10=dropdowns!$B$121,$C$10=dropdowns!$C$121,$C$10=dropdowns!$D$121,$C$10=dropdowns!$E$121),$C$9,IF(OR($C$10=dropdowns!$B$120,$C$10=dropdowns!$C$120,$C$10=dropdowns!$D$120,$C$10=dropdowns!$E$120),IFERROR((I26/(1-(1+$C$7/12)^-($C$4-H22)))-I26,0),0))))</f>
        <v>0</v>
      </c>
      <c r="J27" s="380">
        <f>IF(J24&lt;0.001,0,IF(J22&lt;$C$11,0,IF(OR($C$10=dropdowns!$B$121,$C$10=dropdowns!$C$121,$C$10=dropdowns!$D$121,$C$10=dropdowns!$E$121),$C$9,IF(OR($C$10=dropdowns!$B$120,$C$10=dropdowns!$C$120,$C$10=dropdowns!$D$120,$C$10=dropdowns!$E$120),IFERROR((J26/(1-(1+$C$7/12)^-($C$4-I22)))-J26,0),0))))</f>
        <v>0</v>
      </c>
      <c r="K27" s="380">
        <f>IF(K24&lt;0.001,0,IF(K22&lt;$C$11,0,IF(OR($C$10=dropdowns!$B$121,$C$10=dropdowns!$C$121,$C$10=dropdowns!$D$121,$C$10=dropdowns!$E$121),$C$9,IF(OR($C$10=dropdowns!$B$120,$C$10=dropdowns!$C$120,$C$10=dropdowns!$D$120,$C$10=dropdowns!$E$120),IFERROR((K26/(1-(1+$C$7/12)^-($C$4-J22)))-K26,0),0))))</f>
        <v>0</v>
      </c>
      <c r="L27" s="380">
        <f>IF(L24&lt;0.001,0,IF(L22&lt;$C$11,0,IF(OR($C$10=dropdowns!$B$121,$C$10=dropdowns!$C$121,$C$10=dropdowns!$D$121,$C$10=dropdowns!$E$121),$C$9,IF(OR($C$10=dropdowns!$B$120,$C$10=dropdowns!$C$120,$C$10=dropdowns!$D$120,$C$10=dropdowns!$E$120),IFERROR((L26/(1-(1+$C$7/12)^-($C$4-K22)))-L26,0),0))))</f>
        <v>0</v>
      </c>
      <c r="M27" s="380">
        <f>IF(M24&lt;0.001,0,IF(M22&lt;$C$11,0,IF(OR($C$10=dropdowns!$B$121,$C$10=dropdowns!$C$121,$C$10=dropdowns!$D$121,$C$10=dropdowns!$E$121),$C$9,IF(OR($C$10=dropdowns!$B$120,$C$10=dropdowns!$C$120,$C$10=dropdowns!$D$120,$C$10=dropdowns!$E$120),IFERROR((M26/(1-(1+$C$7/12)^-($C$4-L22)))-M26,0),0))))</f>
        <v>0</v>
      </c>
      <c r="N27" s="380">
        <f>IF(N24&lt;0.001,0,IF(N22&lt;$C$11,0,IF(OR($C$10=dropdowns!$B$121,$C$10=dropdowns!$C$121,$C$10=dropdowns!$D$121,$C$10=dropdowns!$E$121),$C$9,IF(OR($C$10=dropdowns!$B$120,$C$10=dropdowns!$C$120,$C$10=dropdowns!$D$120,$C$10=dropdowns!$E$120),IFERROR((N26/(1-(1+$C$7/12)^-($C$4-M22)))-N26,0),0))))</f>
        <v>0</v>
      </c>
      <c r="O27" s="381">
        <f>SUM(C27:N27)</f>
        <v>0</v>
      </c>
      <c r="P27" s="261"/>
    </row>
    <row r="28" spans="2:16" x14ac:dyDescent="0.25">
      <c r="B28" s="385" t="str">
        <f>Vertaling!$A$369</f>
        <v>Te betalen per maand</v>
      </c>
      <c r="C28" s="386">
        <f t="shared" ref="C28:N28" si="7">SUM(C26:C27)</f>
        <v>0</v>
      </c>
      <c r="D28" s="386">
        <f t="shared" si="7"/>
        <v>0</v>
      </c>
      <c r="E28" s="386">
        <f t="shared" si="7"/>
        <v>0</v>
      </c>
      <c r="F28" s="386">
        <f t="shared" si="7"/>
        <v>0</v>
      </c>
      <c r="G28" s="386">
        <f t="shared" si="7"/>
        <v>0</v>
      </c>
      <c r="H28" s="386">
        <f t="shared" si="7"/>
        <v>0</v>
      </c>
      <c r="I28" s="386">
        <f t="shared" si="7"/>
        <v>0</v>
      </c>
      <c r="J28" s="386">
        <f t="shared" si="7"/>
        <v>0</v>
      </c>
      <c r="K28" s="386">
        <f t="shared" si="7"/>
        <v>0</v>
      </c>
      <c r="L28" s="386">
        <f t="shared" si="7"/>
        <v>0</v>
      </c>
      <c r="M28" s="386">
        <f t="shared" si="7"/>
        <v>0</v>
      </c>
      <c r="N28" s="386">
        <f t="shared" si="7"/>
        <v>0</v>
      </c>
      <c r="O28" s="387">
        <f>SUM(C28:N28)</f>
        <v>0</v>
      </c>
      <c r="P28" s="261"/>
    </row>
    <row r="29" spans="2:16" x14ac:dyDescent="0.25">
      <c r="B29" s="359"/>
      <c r="C29" s="359"/>
      <c r="D29" s="359"/>
      <c r="E29" s="359"/>
      <c r="F29" s="359"/>
      <c r="G29" s="359"/>
      <c r="H29" s="359"/>
      <c r="I29" s="359"/>
      <c r="J29" s="359"/>
      <c r="K29" s="359"/>
      <c r="L29" s="359"/>
      <c r="M29" s="359"/>
      <c r="N29" s="359"/>
      <c r="O29" s="359"/>
      <c r="P29" s="261"/>
    </row>
    <row r="30" spans="2:16" x14ac:dyDescent="0.25">
      <c r="B30" s="374" t="str">
        <f>Vertaling!$A$364&amp;N30/12</f>
        <v>Jaar 3</v>
      </c>
      <c r="C30" s="375">
        <f>N22+1</f>
        <v>25</v>
      </c>
      <c r="D30" s="375">
        <f t="shared" ref="D30:N30" si="8">C30+1</f>
        <v>26</v>
      </c>
      <c r="E30" s="375">
        <f t="shared" si="8"/>
        <v>27</v>
      </c>
      <c r="F30" s="375">
        <f t="shared" si="8"/>
        <v>28</v>
      </c>
      <c r="G30" s="375">
        <f t="shared" si="8"/>
        <v>29</v>
      </c>
      <c r="H30" s="375">
        <f t="shared" si="8"/>
        <v>30</v>
      </c>
      <c r="I30" s="375">
        <f t="shared" si="8"/>
        <v>31</v>
      </c>
      <c r="J30" s="375">
        <f t="shared" si="8"/>
        <v>32</v>
      </c>
      <c r="K30" s="375">
        <f t="shared" si="8"/>
        <v>33</v>
      </c>
      <c r="L30" s="375">
        <f t="shared" si="8"/>
        <v>34</v>
      </c>
      <c r="M30" s="375">
        <f t="shared" si="8"/>
        <v>35</v>
      </c>
      <c r="N30" s="375">
        <f t="shared" si="8"/>
        <v>36</v>
      </c>
      <c r="O30" s="375" t="s">
        <v>54</v>
      </c>
      <c r="P30" s="261"/>
    </row>
    <row r="31" spans="2:16" x14ac:dyDescent="0.25">
      <c r="B31" s="376"/>
      <c r="C31" s="377"/>
      <c r="D31" s="377"/>
      <c r="E31" s="377"/>
      <c r="F31" s="377"/>
      <c r="G31" s="377"/>
      <c r="H31" s="377"/>
      <c r="I31" s="377"/>
      <c r="J31" s="377"/>
      <c r="K31" s="377"/>
      <c r="L31" s="377"/>
      <c r="M31" s="377"/>
      <c r="N31" s="377"/>
      <c r="O31" s="377"/>
      <c r="P31" s="261"/>
    </row>
    <row r="32" spans="2:16" x14ac:dyDescent="0.25">
      <c r="B32" s="378" t="str">
        <f>Vertaling!$A$365</f>
        <v>Bedrag lening begin maand</v>
      </c>
      <c r="C32" s="379">
        <f>N24-N27</f>
        <v>0</v>
      </c>
      <c r="D32" s="380">
        <f t="shared" ref="D32:N32" si="9">C32-C35</f>
        <v>0</v>
      </c>
      <c r="E32" s="380">
        <f t="shared" si="9"/>
        <v>0</v>
      </c>
      <c r="F32" s="380">
        <f t="shared" si="9"/>
        <v>0</v>
      </c>
      <c r="G32" s="380">
        <f t="shared" si="9"/>
        <v>0</v>
      </c>
      <c r="H32" s="380">
        <f t="shared" si="9"/>
        <v>0</v>
      </c>
      <c r="I32" s="380">
        <f t="shared" si="9"/>
        <v>0</v>
      </c>
      <c r="J32" s="380">
        <f t="shared" si="9"/>
        <v>0</v>
      </c>
      <c r="K32" s="380">
        <f t="shared" si="9"/>
        <v>0</v>
      </c>
      <c r="L32" s="380">
        <f t="shared" si="9"/>
        <v>0</v>
      </c>
      <c r="M32" s="380">
        <f t="shared" si="9"/>
        <v>0</v>
      </c>
      <c r="N32" s="380">
        <f t="shared" si="9"/>
        <v>0</v>
      </c>
      <c r="O32" s="381"/>
      <c r="P32" s="261"/>
    </row>
    <row r="33" spans="2:16" x14ac:dyDescent="0.25">
      <c r="B33" s="378"/>
      <c r="C33" s="378"/>
      <c r="D33" s="378"/>
      <c r="E33" s="378"/>
      <c r="F33" s="378"/>
      <c r="G33" s="378"/>
      <c r="H33" s="378"/>
      <c r="I33" s="378"/>
      <c r="J33" s="378"/>
      <c r="K33" s="378"/>
      <c r="L33" s="378"/>
      <c r="M33" s="378"/>
      <c r="N33" s="378"/>
      <c r="O33" s="378"/>
      <c r="P33" s="261"/>
    </row>
    <row r="34" spans="2:16" x14ac:dyDescent="0.25">
      <c r="B34" s="378" t="str">
        <f>Vertaling!$A$366</f>
        <v>Kosten rente per maand</v>
      </c>
      <c r="C34" s="380">
        <f t="shared" ref="C34:N34" si="10">IF(C32&lt;0.001,0,$C$8*C32)</f>
        <v>0</v>
      </c>
      <c r="D34" s="380">
        <f t="shared" si="10"/>
        <v>0</v>
      </c>
      <c r="E34" s="380">
        <f t="shared" si="10"/>
        <v>0</v>
      </c>
      <c r="F34" s="380">
        <f t="shared" si="10"/>
        <v>0</v>
      </c>
      <c r="G34" s="380">
        <f t="shared" si="10"/>
        <v>0</v>
      </c>
      <c r="H34" s="380">
        <f t="shared" si="10"/>
        <v>0</v>
      </c>
      <c r="I34" s="380">
        <f t="shared" si="10"/>
        <v>0</v>
      </c>
      <c r="J34" s="380">
        <f t="shared" si="10"/>
        <v>0</v>
      </c>
      <c r="K34" s="380">
        <f t="shared" si="10"/>
        <v>0</v>
      </c>
      <c r="L34" s="380">
        <f t="shared" si="10"/>
        <v>0</v>
      </c>
      <c r="M34" s="380">
        <f t="shared" si="10"/>
        <v>0</v>
      </c>
      <c r="N34" s="380">
        <f t="shared" si="10"/>
        <v>0</v>
      </c>
      <c r="O34" s="381">
        <f>SUM(C34:N34)</f>
        <v>0</v>
      </c>
      <c r="P34" s="261"/>
    </row>
    <row r="35" spans="2:16" x14ac:dyDescent="0.25">
      <c r="B35" s="378" t="str">
        <f>Vertaling!$A$367</f>
        <v>Aflossing per maand</v>
      </c>
      <c r="C35" s="380">
        <f>IF(C32&lt;0.001,0,IF(C30&lt;$C$11,0,IF(OR($C$10=dropdowns!$B$121,$C$10=dropdowns!$C$121,$C$10=dropdowns!$D$121,$C$10=dropdowns!$E$121),$C$9,IF(OR($C$10=dropdowns!$B$120,$C$10=dropdowns!$C$120,$C$10=dropdowns!$D$120,$C$10=dropdowns!$E$120),IFERROR((C34/(1-(1+$C$7/12)^-($C$4-N22)))-C34,0),0))))</f>
        <v>0</v>
      </c>
      <c r="D35" s="380">
        <f>IF(D32&lt;0.001,0,IF(D30&lt;$C$11,0,IF(OR($C$10=dropdowns!$B$121,$C$10=dropdowns!$C$121,$C$10=dropdowns!$D$121,$C$10=dropdowns!$E$121),$C$9,IF(OR($C$10=dropdowns!$B$120,$C$10=dropdowns!$C$120,$C$10=dropdowns!$D$120,$C$10=dropdowns!$E$120),IFERROR((D34/(1-(1+$C$7/12)^-($C$4-C30)))-D34,0),0))))</f>
        <v>0</v>
      </c>
      <c r="E35" s="380">
        <f>IF(E32&lt;0.001,0,IF(E30&lt;$C$11,0,IF(OR($C$10=dropdowns!$B$121,$C$10=dropdowns!$C$121,$C$10=dropdowns!$D$121,$C$10=dropdowns!$E$121),$C$9,IF(OR($C$10=dropdowns!$B$120,$C$10=dropdowns!$C$120,$C$10=dropdowns!$D$120,$C$10=dropdowns!$E$120),IFERROR((E34/(1-(1+$C$7/12)^-($C$4-D30)))-E34,0),0))))</f>
        <v>0</v>
      </c>
      <c r="F35" s="380">
        <f>IF(F32&lt;0.001,0,IF(F30&lt;$C$11,0,IF(OR($C$10=dropdowns!$B$121,$C$10=dropdowns!$C$121,$C$10=dropdowns!$D$121,$C$10=dropdowns!$E$121),$C$9,IF(OR($C$10=dropdowns!$B$120,$C$10=dropdowns!$C$120,$C$10=dropdowns!$D$120,$C$10=dropdowns!$E$120),IFERROR((F34/(1-(1+$C$7/12)^-($C$4-E30)))-F34,0),0))))</f>
        <v>0</v>
      </c>
      <c r="G35" s="380">
        <f>IF(G32&lt;0.001,0,IF(G30&lt;$C$11,0,IF(OR($C$10=dropdowns!$B$121,$C$10=dropdowns!$C$121,$C$10=dropdowns!$D$121,$C$10=dropdowns!$E$121),$C$9,IF(OR($C$10=dropdowns!$B$120,$C$10=dropdowns!$C$120,$C$10=dropdowns!$D$120,$C$10=dropdowns!$E$120),IFERROR((G34/(1-(1+$C$7/12)^-($C$4-F30)))-G34,0),0))))</f>
        <v>0</v>
      </c>
      <c r="H35" s="380">
        <f>IF(H32&lt;0.001,0,IF(H30&lt;$C$11,0,IF(OR($C$10=dropdowns!$B$121,$C$10=dropdowns!$C$121,$C$10=dropdowns!$D$121,$C$10=dropdowns!$E$121),$C$9,IF(OR($C$10=dropdowns!$B$120,$C$10=dropdowns!$C$120,$C$10=dropdowns!$D$120,$C$10=dropdowns!$E$120),IFERROR((H34/(1-(1+$C$7/12)^-($C$4-G30)))-H34,0),0))))</f>
        <v>0</v>
      </c>
      <c r="I35" s="380">
        <f>IF(I32&lt;0.001,0,IF(I30&lt;$C$11,0,IF(OR($C$10=dropdowns!$B$121,$C$10=dropdowns!$C$121,$C$10=dropdowns!$D$121,$C$10=dropdowns!$E$121),$C$9,IF(OR($C$10=dropdowns!$B$120,$C$10=dropdowns!$C$120,$C$10=dropdowns!$D$120,$C$10=dropdowns!$E$120),IFERROR((I34/(1-(1+$C$7/12)^-($C$4-H30)))-I34,0),0))))</f>
        <v>0</v>
      </c>
      <c r="J35" s="380">
        <f>IF(J32&lt;0.001,0,IF(J30&lt;$C$11,0,IF(OR($C$10=dropdowns!$B$121,$C$10=dropdowns!$C$121,$C$10=dropdowns!$D$121,$C$10=dropdowns!$E$121),$C$9,IF(OR($C$10=dropdowns!$B$120,$C$10=dropdowns!$C$120,$C$10=dropdowns!$D$120,$C$10=dropdowns!$E$120),IFERROR((J34/(1-(1+$C$7/12)^-($C$4-I30)))-J34,0),0))))</f>
        <v>0</v>
      </c>
      <c r="K35" s="380">
        <f>IF(K32&lt;0.001,0,IF(K30&lt;$C$11,0,IF(OR($C$10=dropdowns!$B$121,$C$10=dropdowns!$C$121,$C$10=dropdowns!$D$121,$C$10=dropdowns!$E$121),$C$9,IF(OR($C$10=dropdowns!$B$120,$C$10=dropdowns!$C$120,$C$10=dropdowns!$D$120,$C$10=dropdowns!$E$120),IFERROR((K34/(1-(1+$C$7/12)^-($C$4-J30)))-K34,0),0))))</f>
        <v>0</v>
      </c>
      <c r="L35" s="380">
        <f>IF(L32&lt;0.001,0,IF(L30&lt;$C$11,0,IF(OR($C$10=dropdowns!$B$121,$C$10=dropdowns!$C$121,$C$10=dropdowns!$D$121,$C$10=dropdowns!$E$121),$C$9,IF(OR($C$10=dropdowns!$B$120,$C$10=dropdowns!$C$120,$C$10=dropdowns!$D$120,$C$10=dropdowns!$E$120),IFERROR((L34/(1-(1+$C$7/12)^-($C$4-K30)))-L34,0),0))))</f>
        <v>0</v>
      </c>
      <c r="M35" s="380">
        <f>IF(M32&lt;0.001,0,IF(M30&lt;$C$11,0,IF(OR($C$10=dropdowns!$B$121,$C$10=dropdowns!$C$121,$C$10=dropdowns!$D$121,$C$10=dropdowns!$E$121),$C$9,IF(OR($C$10=dropdowns!$B$120,$C$10=dropdowns!$C$120,$C$10=dropdowns!$D$120,$C$10=dropdowns!$E$120),IFERROR((M34/(1-(1+$C$7/12)^-($C$4-L30)))-M34,0),0))))</f>
        <v>0</v>
      </c>
      <c r="N35" s="380">
        <f>IF(N32&lt;0.001,0,IF(N30&lt;$C$11,0,IF(OR($C$10=dropdowns!$B$121,$C$10=dropdowns!$C$121,$C$10=dropdowns!$D$121,$C$10=dropdowns!$E$121),$C$9,IF(OR($C$10=dropdowns!$B$120,$C$10=dropdowns!$C$120,$C$10=dropdowns!$D$120,$C$10=dropdowns!$E$120),IFERROR((N34/(1-(1+$C$7/12)^-($C$4-M30)))-N34,0),0))))</f>
        <v>0</v>
      </c>
      <c r="O35" s="381">
        <f>SUM(C35:N35)</f>
        <v>0</v>
      </c>
      <c r="P35" s="261"/>
    </row>
    <row r="36" spans="2:16" x14ac:dyDescent="0.25">
      <c r="B36" s="385" t="str">
        <f>Vertaling!$A$369</f>
        <v>Te betalen per maand</v>
      </c>
      <c r="C36" s="386">
        <f t="shared" ref="C36:N36" si="11">SUM(C34:C35)</f>
        <v>0</v>
      </c>
      <c r="D36" s="386">
        <f t="shared" si="11"/>
        <v>0</v>
      </c>
      <c r="E36" s="386">
        <f t="shared" si="11"/>
        <v>0</v>
      </c>
      <c r="F36" s="386">
        <f t="shared" si="11"/>
        <v>0</v>
      </c>
      <c r="G36" s="386">
        <f t="shared" si="11"/>
        <v>0</v>
      </c>
      <c r="H36" s="386">
        <f t="shared" si="11"/>
        <v>0</v>
      </c>
      <c r="I36" s="386">
        <f t="shared" si="11"/>
        <v>0</v>
      </c>
      <c r="J36" s="386">
        <f t="shared" si="11"/>
        <v>0</v>
      </c>
      <c r="K36" s="386">
        <f t="shared" si="11"/>
        <v>0</v>
      </c>
      <c r="L36" s="386">
        <f t="shared" si="11"/>
        <v>0</v>
      </c>
      <c r="M36" s="386">
        <f t="shared" si="11"/>
        <v>0</v>
      </c>
      <c r="N36" s="386">
        <f t="shared" si="11"/>
        <v>0</v>
      </c>
      <c r="O36" s="387">
        <f>SUM(C36:N36)</f>
        <v>0</v>
      </c>
      <c r="P36" s="261"/>
    </row>
    <row r="37" spans="2:16" x14ac:dyDescent="0.25">
      <c r="B37" s="359"/>
      <c r="C37" s="359"/>
      <c r="D37" s="359"/>
      <c r="E37" s="359"/>
      <c r="F37" s="359"/>
      <c r="G37" s="359"/>
      <c r="H37" s="359"/>
      <c r="I37" s="359"/>
      <c r="J37" s="359"/>
      <c r="K37" s="359"/>
      <c r="L37" s="359"/>
      <c r="M37" s="359"/>
      <c r="N37" s="359"/>
      <c r="O37" s="359"/>
      <c r="P37" s="261"/>
    </row>
    <row r="38" spans="2:16" x14ac:dyDescent="0.25">
      <c r="B38" s="374" t="str">
        <f>Vertaling!$A$364&amp;N38/12</f>
        <v>Jaar 4</v>
      </c>
      <c r="C38" s="375">
        <f>N30+1</f>
        <v>37</v>
      </c>
      <c r="D38" s="375">
        <f t="shared" ref="D38:N38" si="12">C38+1</f>
        <v>38</v>
      </c>
      <c r="E38" s="375">
        <f t="shared" si="12"/>
        <v>39</v>
      </c>
      <c r="F38" s="375">
        <f t="shared" si="12"/>
        <v>40</v>
      </c>
      <c r="G38" s="375">
        <f t="shared" si="12"/>
        <v>41</v>
      </c>
      <c r="H38" s="375">
        <f t="shared" si="12"/>
        <v>42</v>
      </c>
      <c r="I38" s="375">
        <f t="shared" si="12"/>
        <v>43</v>
      </c>
      <c r="J38" s="375">
        <f t="shared" si="12"/>
        <v>44</v>
      </c>
      <c r="K38" s="375">
        <f t="shared" si="12"/>
        <v>45</v>
      </c>
      <c r="L38" s="375">
        <f t="shared" si="12"/>
        <v>46</v>
      </c>
      <c r="M38" s="375">
        <f t="shared" si="12"/>
        <v>47</v>
      </c>
      <c r="N38" s="375">
        <f t="shared" si="12"/>
        <v>48</v>
      </c>
      <c r="O38" s="375" t="s">
        <v>54</v>
      </c>
      <c r="P38" s="261"/>
    </row>
    <row r="39" spans="2:16" x14ac:dyDescent="0.25">
      <c r="B39" s="376"/>
      <c r="C39" s="377"/>
      <c r="D39" s="377"/>
      <c r="E39" s="377"/>
      <c r="F39" s="377"/>
      <c r="G39" s="377"/>
      <c r="H39" s="377"/>
      <c r="I39" s="377"/>
      <c r="J39" s="377"/>
      <c r="K39" s="377"/>
      <c r="L39" s="377"/>
      <c r="M39" s="377"/>
      <c r="N39" s="377"/>
      <c r="O39" s="377"/>
      <c r="P39" s="261"/>
    </row>
    <row r="40" spans="2:16" x14ac:dyDescent="0.25">
      <c r="B40" s="378" t="str">
        <f>Vertaling!$A$365</f>
        <v>Bedrag lening begin maand</v>
      </c>
      <c r="C40" s="379">
        <f>N32-N35</f>
        <v>0</v>
      </c>
      <c r="D40" s="380">
        <f t="shared" ref="D40:N40" si="13">C40-C43</f>
        <v>0</v>
      </c>
      <c r="E40" s="380">
        <f t="shared" si="13"/>
        <v>0</v>
      </c>
      <c r="F40" s="380">
        <f t="shared" si="13"/>
        <v>0</v>
      </c>
      <c r="G40" s="380">
        <f t="shared" si="13"/>
        <v>0</v>
      </c>
      <c r="H40" s="380">
        <f t="shared" si="13"/>
        <v>0</v>
      </c>
      <c r="I40" s="380">
        <f t="shared" si="13"/>
        <v>0</v>
      </c>
      <c r="J40" s="380">
        <f t="shared" si="13"/>
        <v>0</v>
      </c>
      <c r="K40" s="380">
        <f t="shared" si="13"/>
        <v>0</v>
      </c>
      <c r="L40" s="380">
        <f t="shared" si="13"/>
        <v>0</v>
      </c>
      <c r="M40" s="380">
        <f t="shared" si="13"/>
        <v>0</v>
      </c>
      <c r="N40" s="380">
        <f t="shared" si="13"/>
        <v>0</v>
      </c>
      <c r="O40" s="381"/>
      <c r="P40" s="261"/>
    </row>
    <row r="41" spans="2:16" x14ac:dyDescent="0.25">
      <c r="B41" s="378"/>
      <c r="C41" s="378"/>
      <c r="D41" s="378"/>
      <c r="E41" s="378"/>
      <c r="F41" s="378"/>
      <c r="G41" s="378"/>
      <c r="H41" s="378"/>
      <c r="I41" s="378"/>
      <c r="J41" s="378"/>
      <c r="K41" s="378"/>
      <c r="L41" s="378"/>
      <c r="M41" s="378"/>
      <c r="N41" s="378"/>
      <c r="O41" s="378"/>
      <c r="P41" s="261"/>
    </row>
    <row r="42" spans="2:16" x14ac:dyDescent="0.25">
      <c r="B42" s="378" t="str">
        <f>Vertaling!$A$366</f>
        <v>Kosten rente per maand</v>
      </c>
      <c r="C42" s="380">
        <f t="shared" ref="C42:N42" si="14">IF(C40&lt;0.001,0,$C$8*C40)</f>
        <v>0</v>
      </c>
      <c r="D42" s="380">
        <f t="shared" si="14"/>
        <v>0</v>
      </c>
      <c r="E42" s="380">
        <f t="shared" si="14"/>
        <v>0</v>
      </c>
      <c r="F42" s="380">
        <f t="shared" si="14"/>
        <v>0</v>
      </c>
      <c r="G42" s="380">
        <f t="shared" si="14"/>
        <v>0</v>
      </c>
      <c r="H42" s="380">
        <f t="shared" si="14"/>
        <v>0</v>
      </c>
      <c r="I42" s="380">
        <f t="shared" si="14"/>
        <v>0</v>
      </c>
      <c r="J42" s="380">
        <f t="shared" si="14"/>
        <v>0</v>
      </c>
      <c r="K42" s="380">
        <f t="shared" si="14"/>
        <v>0</v>
      </c>
      <c r="L42" s="380">
        <f t="shared" si="14"/>
        <v>0</v>
      </c>
      <c r="M42" s="380">
        <f t="shared" si="14"/>
        <v>0</v>
      </c>
      <c r="N42" s="380">
        <f t="shared" si="14"/>
        <v>0</v>
      </c>
      <c r="O42" s="381">
        <f>SUM(C42:N42)</f>
        <v>0</v>
      </c>
      <c r="P42" s="261"/>
    </row>
    <row r="43" spans="2:16" x14ac:dyDescent="0.25">
      <c r="B43" s="378" t="str">
        <f>Vertaling!$A$367</f>
        <v>Aflossing per maand</v>
      </c>
      <c r="C43" s="380">
        <f>IF(C40&lt;0.001,0,IF(C38&lt;$C$11,0,IF(OR($C$10=dropdowns!$B$121,$C$10=dropdowns!$C$121,$C$10=dropdowns!$D$121,$C$10=dropdowns!$E$121),$C$9,IF(OR($C$10=dropdowns!$B$120,$C$10=dropdowns!$C$120,$C$10=dropdowns!$D$120,$C$10=dropdowns!$E$120),IFERROR((C42/(1-(1+$C$7/12)^-($C$4-N30)))-C42,0),0))))</f>
        <v>0</v>
      </c>
      <c r="D43" s="380">
        <f>IF(D40&lt;0.001,0,IF(D38&lt;$C$11,0,IF(OR($C$10=dropdowns!$B$121,$C$10=dropdowns!$C$121,$C$10=dropdowns!$D$121,$C$10=dropdowns!$E$121),$C$9,IF(OR($C$10=dropdowns!$B$120,$C$10=dropdowns!$C$120,$C$10=dropdowns!$D$120,$C$10=dropdowns!$E$120),IFERROR((D42/(1-(1+$C$7/12)^-($C$4-C38)))-D42,0),0))))</f>
        <v>0</v>
      </c>
      <c r="E43" s="380">
        <f>IF(E40&lt;0.001,0,IF(E38&lt;$C$11,0,IF(OR($C$10=dropdowns!$B$121,$C$10=dropdowns!$C$121,$C$10=dropdowns!$D$121,$C$10=dropdowns!$E$121),$C$9,IF(OR($C$10=dropdowns!$B$120,$C$10=dropdowns!$C$120,$C$10=dropdowns!$D$120,$C$10=dropdowns!$E$120),IFERROR((E42/(1-(1+$C$7/12)^-($C$4-D38)))-E42,0),0))))</f>
        <v>0</v>
      </c>
      <c r="F43" s="380">
        <f>IF(F40&lt;0.001,0,IF(F38&lt;$C$11,0,IF(OR($C$10=dropdowns!$B$121,$C$10=dropdowns!$C$121,$C$10=dropdowns!$D$121,$C$10=dropdowns!$E$121),$C$9,IF(OR($C$10=dropdowns!$B$120,$C$10=dropdowns!$C$120,$C$10=dropdowns!$D$120,$C$10=dropdowns!$E$120),IFERROR((F42/(1-(1+$C$7/12)^-($C$4-E38)))-F42,0),0))))</f>
        <v>0</v>
      </c>
      <c r="G43" s="380">
        <f>IF(G40&lt;0.001,0,IF(G38&lt;$C$11,0,IF(OR($C$10=dropdowns!$B$121,$C$10=dropdowns!$C$121,$C$10=dropdowns!$D$121,$C$10=dropdowns!$E$121),$C$9,IF(OR($C$10=dropdowns!$B$120,$C$10=dropdowns!$C$120,$C$10=dropdowns!$D$120,$C$10=dropdowns!$E$120),IFERROR((G42/(1-(1+$C$7/12)^-($C$4-F38)))-G42,0),0))))</f>
        <v>0</v>
      </c>
      <c r="H43" s="380">
        <f>IF(H40&lt;0.001,0,IF(H38&lt;$C$11,0,IF(OR($C$10=dropdowns!$B$121,$C$10=dropdowns!$C$121,$C$10=dropdowns!$D$121,$C$10=dropdowns!$E$121),$C$9,IF(OR($C$10=dropdowns!$B$120,$C$10=dropdowns!$C$120,$C$10=dropdowns!$D$120,$C$10=dropdowns!$E$120),IFERROR((H42/(1-(1+$C$7/12)^-($C$4-G38)))-H42,0),0))))</f>
        <v>0</v>
      </c>
      <c r="I43" s="380">
        <f>IF(I40&lt;0.001,0,IF(I38&lt;$C$11,0,IF(OR($C$10=dropdowns!$B$121,$C$10=dropdowns!$C$121,$C$10=dropdowns!$D$121,$C$10=dropdowns!$E$121),$C$9,IF(OR($C$10=dropdowns!$B$120,$C$10=dropdowns!$C$120,$C$10=dropdowns!$D$120,$C$10=dropdowns!$E$120),IFERROR((I42/(1-(1+$C$7/12)^-($C$4-H38)))-I42,0),0))))</f>
        <v>0</v>
      </c>
      <c r="J43" s="380">
        <f>IF(J40&lt;0.001,0,IF(J38&lt;$C$11,0,IF(OR($C$10=dropdowns!$B$121,$C$10=dropdowns!$C$121,$C$10=dropdowns!$D$121,$C$10=dropdowns!$E$121),$C$9,IF(OR($C$10=dropdowns!$B$120,$C$10=dropdowns!$C$120,$C$10=dropdowns!$D$120,$C$10=dropdowns!$E$120),IFERROR((J42/(1-(1+$C$7/12)^-($C$4-I38)))-J42,0),0))))</f>
        <v>0</v>
      </c>
      <c r="K43" s="380">
        <f>IF(K40&lt;0.001,0,IF(K38&lt;$C$11,0,IF(OR($C$10=dropdowns!$B$121,$C$10=dropdowns!$C$121,$C$10=dropdowns!$D$121,$C$10=dropdowns!$E$121),$C$9,IF(OR($C$10=dropdowns!$B$120,$C$10=dropdowns!$C$120,$C$10=dropdowns!$D$120,$C$10=dropdowns!$E$120),IFERROR((K42/(1-(1+$C$7/12)^-($C$4-J38)))-K42,0),0))))</f>
        <v>0</v>
      </c>
      <c r="L43" s="380">
        <f>IF(L40&lt;0.001,0,IF(L38&lt;$C$11,0,IF(OR($C$10=dropdowns!$B$121,$C$10=dropdowns!$C$121,$C$10=dropdowns!$D$121,$C$10=dropdowns!$E$121),$C$9,IF(OR($C$10=dropdowns!$B$120,$C$10=dropdowns!$C$120,$C$10=dropdowns!$D$120,$C$10=dropdowns!$E$120),IFERROR((L42/(1-(1+$C$7/12)^-($C$4-K38)))-L42,0),0))))</f>
        <v>0</v>
      </c>
      <c r="M43" s="380">
        <f>IF(M40&lt;0.001,0,IF(M38&lt;$C$11,0,IF(OR($C$10=dropdowns!$B$121,$C$10=dropdowns!$C$121,$C$10=dropdowns!$D$121,$C$10=dropdowns!$E$121),$C$9,IF(OR($C$10=dropdowns!$B$120,$C$10=dropdowns!$C$120,$C$10=dropdowns!$D$120,$C$10=dropdowns!$E$120),IFERROR((M42/(1-(1+$C$7/12)^-($C$4-L38)))-M42,0),0))))</f>
        <v>0</v>
      </c>
      <c r="N43" s="380">
        <f>IF(N40&lt;0.001,0,IF(N38&lt;$C$11,0,IF(OR($C$10=dropdowns!$B$121,$C$10=dropdowns!$C$121,$C$10=dropdowns!$D$121,$C$10=dropdowns!$E$121),$C$9,IF(OR($C$10=dropdowns!$B$120,$C$10=dropdowns!$C$120,$C$10=dropdowns!$D$120,$C$10=dropdowns!$E$120),IFERROR((N42/(1-(1+$C$7/12)^-($C$4-M38)))-N42,0),0))))</f>
        <v>0</v>
      </c>
      <c r="O43" s="381">
        <f>SUM(C43:N43)</f>
        <v>0</v>
      </c>
      <c r="P43" s="261"/>
    </row>
    <row r="44" spans="2:16" x14ac:dyDescent="0.25">
      <c r="B44" s="385" t="str">
        <f>Vertaling!$A$369</f>
        <v>Te betalen per maand</v>
      </c>
      <c r="C44" s="386">
        <f t="shared" ref="C44:N44" si="15">SUM(C42:C43)</f>
        <v>0</v>
      </c>
      <c r="D44" s="386">
        <f t="shared" si="15"/>
        <v>0</v>
      </c>
      <c r="E44" s="386">
        <f t="shared" si="15"/>
        <v>0</v>
      </c>
      <c r="F44" s="386">
        <f t="shared" si="15"/>
        <v>0</v>
      </c>
      <c r="G44" s="386">
        <f t="shared" si="15"/>
        <v>0</v>
      </c>
      <c r="H44" s="386">
        <f t="shared" si="15"/>
        <v>0</v>
      </c>
      <c r="I44" s="386">
        <f t="shared" si="15"/>
        <v>0</v>
      </c>
      <c r="J44" s="386">
        <f t="shared" si="15"/>
        <v>0</v>
      </c>
      <c r="K44" s="386">
        <f t="shared" si="15"/>
        <v>0</v>
      </c>
      <c r="L44" s="386">
        <f t="shared" si="15"/>
        <v>0</v>
      </c>
      <c r="M44" s="386">
        <f t="shared" si="15"/>
        <v>0</v>
      </c>
      <c r="N44" s="386">
        <f t="shared" si="15"/>
        <v>0</v>
      </c>
      <c r="O44" s="387">
        <f>SUM(C44:N44)</f>
        <v>0</v>
      </c>
      <c r="P44" s="261"/>
    </row>
    <row r="45" spans="2:16" x14ac:dyDescent="0.25">
      <c r="B45" s="359"/>
      <c r="C45" s="359"/>
      <c r="D45" s="359"/>
      <c r="E45" s="359"/>
      <c r="F45" s="359"/>
      <c r="G45" s="359"/>
      <c r="H45" s="359"/>
      <c r="I45" s="359"/>
      <c r="J45" s="359"/>
      <c r="K45" s="359"/>
      <c r="L45" s="359"/>
      <c r="M45" s="359"/>
      <c r="N45" s="359"/>
      <c r="O45" s="359"/>
      <c r="P45" s="261"/>
    </row>
    <row r="46" spans="2:16" x14ac:dyDescent="0.25">
      <c r="B46" s="374" t="str">
        <f>Vertaling!$A$364&amp;N46/12</f>
        <v>Jaar 5</v>
      </c>
      <c r="C46" s="375">
        <f>N38+1</f>
        <v>49</v>
      </c>
      <c r="D46" s="375">
        <f t="shared" ref="D46:N46" si="16">C46+1</f>
        <v>50</v>
      </c>
      <c r="E46" s="375">
        <f t="shared" si="16"/>
        <v>51</v>
      </c>
      <c r="F46" s="375">
        <f t="shared" si="16"/>
        <v>52</v>
      </c>
      <c r="G46" s="375">
        <f t="shared" si="16"/>
        <v>53</v>
      </c>
      <c r="H46" s="375">
        <f t="shared" si="16"/>
        <v>54</v>
      </c>
      <c r="I46" s="375">
        <f t="shared" si="16"/>
        <v>55</v>
      </c>
      <c r="J46" s="375">
        <f t="shared" si="16"/>
        <v>56</v>
      </c>
      <c r="K46" s="375">
        <f t="shared" si="16"/>
        <v>57</v>
      </c>
      <c r="L46" s="375">
        <f t="shared" si="16"/>
        <v>58</v>
      </c>
      <c r="M46" s="375">
        <f t="shared" si="16"/>
        <v>59</v>
      </c>
      <c r="N46" s="375">
        <f t="shared" si="16"/>
        <v>60</v>
      </c>
      <c r="O46" s="375" t="s">
        <v>54</v>
      </c>
      <c r="P46" s="261"/>
    </row>
    <row r="47" spans="2:16" x14ac:dyDescent="0.25">
      <c r="B47" s="376"/>
      <c r="C47" s="377"/>
      <c r="D47" s="377"/>
      <c r="E47" s="377"/>
      <c r="F47" s="377"/>
      <c r="G47" s="377"/>
      <c r="H47" s="377"/>
      <c r="I47" s="377"/>
      <c r="J47" s="377"/>
      <c r="K47" s="377"/>
      <c r="L47" s="377"/>
      <c r="M47" s="377"/>
      <c r="N47" s="377"/>
      <c r="O47" s="377"/>
      <c r="P47" s="261"/>
    </row>
    <row r="48" spans="2:16" x14ac:dyDescent="0.25">
      <c r="B48" s="378" t="str">
        <f>Vertaling!$A$365</f>
        <v>Bedrag lening begin maand</v>
      </c>
      <c r="C48" s="379">
        <f>N40-N43</f>
        <v>0</v>
      </c>
      <c r="D48" s="380">
        <f t="shared" ref="D48:N48" si="17">C48-C51</f>
        <v>0</v>
      </c>
      <c r="E48" s="380">
        <f t="shared" si="17"/>
        <v>0</v>
      </c>
      <c r="F48" s="380">
        <f t="shared" si="17"/>
        <v>0</v>
      </c>
      <c r="G48" s="380">
        <f t="shared" si="17"/>
        <v>0</v>
      </c>
      <c r="H48" s="380">
        <f t="shared" si="17"/>
        <v>0</v>
      </c>
      <c r="I48" s="380">
        <f t="shared" si="17"/>
        <v>0</v>
      </c>
      <c r="J48" s="380">
        <f t="shared" si="17"/>
        <v>0</v>
      </c>
      <c r="K48" s="380">
        <f t="shared" si="17"/>
        <v>0</v>
      </c>
      <c r="L48" s="380">
        <f t="shared" si="17"/>
        <v>0</v>
      </c>
      <c r="M48" s="380">
        <f t="shared" si="17"/>
        <v>0</v>
      </c>
      <c r="N48" s="380">
        <f t="shared" si="17"/>
        <v>0</v>
      </c>
      <c r="O48" s="381"/>
      <c r="P48" s="261"/>
    </row>
    <row r="49" spans="2:16" x14ac:dyDescent="0.25">
      <c r="B49" s="378"/>
      <c r="C49" s="378"/>
      <c r="D49" s="378"/>
      <c r="E49" s="378"/>
      <c r="F49" s="378"/>
      <c r="G49" s="378"/>
      <c r="H49" s="378"/>
      <c r="I49" s="378"/>
      <c r="J49" s="378"/>
      <c r="K49" s="378"/>
      <c r="L49" s="378"/>
      <c r="M49" s="378"/>
      <c r="N49" s="378"/>
      <c r="O49" s="378"/>
      <c r="P49" s="261"/>
    </row>
    <row r="50" spans="2:16" x14ac:dyDescent="0.25">
      <c r="B50" s="378" t="str">
        <f>Vertaling!$A$366</f>
        <v>Kosten rente per maand</v>
      </c>
      <c r="C50" s="380">
        <f t="shared" ref="C50:N50" si="18">IF(C48&lt;0.001,0,$C$8*C48)</f>
        <v>0</v>
      </c>
      <c r="D50" s="380">
        <f t="shared" si="18"/>
        <v>0</v>
      </c>
      <c r="E50" s="380">
        <f t="shared" si="18"/>
        <v>0</v>
      </c>
      <c r="F50" s="380">
        <f t="shared" si="18"/>
        <v>0</v>
      </c>
      <c r="G50" s="380">
        <f t="shared" si="18"/>
        <v>0</v>
      </c>
      <c r="H50" s="380">
        <f t="shared" si="18"/>
        <v>0</v>
      </c>
      <c r="I50" s="380">
        <f t="shared" si="18"/>
        <v>0</v>
      </c>
      <c r="J50" s="380">
        <f t="shared" si="18"/>
        <v>0</v>
      </c>
      <c r="K50" s="380">
        <f t="shared" si="18"/>
        <v>0</v>
      </c>
      <c r="L50" s="380">
        <f t="shared" si="18"/>
        <v>0</v>
      </c>
      <c r="M50" s="380">
        <f t="shared" si="18"/>
        <v>0</v>
      </c>
      <c r="N50" s="380">
        <f t="shared" si="18"/>
        <v>0</v>
      </c>
      <c r="O50" s="381">
        <f>SUM(C50:N50)</f>
        <v>0</v>
      </c>
      <c r="P50" s="261"/>
    </row>
    <row r="51" spans="2:16" x14ac:dyDescent="0.25">
      <c r="B51" s="378" t="str">
        <f>Vertaling!$A$367</f>
        <v>Aflossing per maand</v>
      </c>
      <c r="C51" s="380">
        <f>IF(C48&lt;0.001,0,IF(C46&lt;$C$11,0,IF(OR($C$10=dropdowns!$B$121,$C$10=dropdowns!$C$121,$C$10=dropdowns!$D$121,$C$10=dropdowns!$E$121),$C$9,IF(OR($C$10=dropdowns!$B$120,$C$10=dropdowns!$C$120,$C$10=dropdowns!$D$120,$C$10=dropdowns!$E$120),IFERROR((C50/(1-(1+$C$7/12)^-($C$4-N38)))-C50,0),0))))</f>
        <v>0</v>
      </c>
      <c r="D51" s="380">
        <f>IF(D48&lt;0.001,0,IF(D46&lt;$C$11,0,IF(OR($C$10=dropdowns!$B$121,$C$10=dropdowns!$C$121,$C$10=dropdowns!$D$121,$C$10=dropdowns!$E$121),$C$9,IF(OR($C$10=dropdowns!$B$120,$C$10=dropdowns!$C$120,$C$10=dropdowns!$D$120,$C$10=dropdowns!$E$120),IFERROR((D50/(1-(1+$C$7/12)^-($C$4-C46)))-D50,0),0))))</f>
        <v>0</v>
      </c>
      <c r="E51" s="380">
        <f>IF(E48&lt;0.001,0,IF(E46&lt;$C$11,0,IF(OR($C$10=dropdowns!$B$121,$C$10=dropdowns!$C$121,$C$10=dropdowns!$D$121,$C$10=dropdowns!$E$121),$C$9,IF(OR($C$10=dropdowns!$B$120,$C$10=dropdowns!$C$120,$C$10=dropdowns!$D$120,$C$10=dropdowns!$E$120),IFERROR((E50/(1-(1+$C$7/12)^-($C$4-D46)))-E50,0),0))))</f>
        <v>0</v>
      </c>
      <c r="F51" s="380">
        <f>IF(F48&lt;0.001,0,IF(F46&lt;$C$11,0,IF(OR($C$10=dropdowns!$B$121,$C$10=dropdowns!$C$121,$C$10=dropdowns!$D$121,$C$10=dropdowns!$E$121),$C$9,IF(OR($C$10=dropdowns!$B$120,$C$10=dropdowns!$C$120,$C$10=dropdowns!$D$120,$C$10=dropdowns!$E$120),IFERROR((F50/(1-(1+$C$7/12)^-($C$4-E46)))-F50,0),0))))</f>
        <v>0</v>
      </c>
      <c r="G51" s="380">
        <f>IF(G48&lt;0.001,0,IF(G46&lt;$C$11,0,IF(OR($C$10=dropdowns!$B$121,$C$10=dropdowns!$C$121,$C$10=dropdowns!$D$121,$C$10=dropdowns!$E$121),$C$9,IF(OR($C$10=dropdowns!$B$120,$C$10=dropdowns!$C$120,$C$10=dropdowns!$D$120,$C$10=dropdowns!$E$120),IFERROR((G50/(1-(1+$C$7/12)^-($C$4-F46)))-G50,0),0))))</f>
        <v>0</v>
      </c>
      <c r="H51" s="380">
        <f>IF(H48&lt;0.001,0,IF(H46&lt;$C$11,0,IF(OR($C$10=dropdowns!$B$121,$C$10=dropdowns!$C$121,$C$10=dropdowns!$D$121,$C$10=dropdowns!$E$121),$C$9,IF(OR($C$10=dropdowns!$B$120,$C$10=dropdowns!$C$120,$C$10=dropdowns!$D$120,$C$10=dropdowns!$E$120),IFERROR((H50/(1-(1+$C$7/12)^-($C$4-G46)))-H50,0),0))))</f>
        <v>0</v>
      </c>
      <c r="I51" s="380">
        <f>IF(I48&lt;0.001,0,IF(I46&lt;$C$11,0,IF(OR($C$10=dropdowns!$B$121,$C$10=dropdowns!$C$121,$C$10=dropdowns!$D$121,$C$10=dropdowns!$E$121),$C$9,IF(OR($C$10=dropdowns!$B$120,$C$10=dropdowns!$C$120,$C$10=dropdowns!$D$120,$C$10=dropdowns!$E$120),IFERROR((I50/(1-(1+$C$7/12)^-($C$4-H46)))-I50,0),0))))</f>
        <v>0</v>
      </c>
      <c r="J51" s="380">
        <f>IF(J48&lt;0.001,0,IF(J46&lt;$C$11,0,IF(OR($C$10=dropdowns!$B$121,$C$10=dropdowns!$C$121,$C$10=dropdowns!$D$121,$C$10=dropdowns!$E$121),$C$9,IF(OR($C$10=dropdowns!$B$120,$C$10=dropdowns!$C$120,$C$10=dropdowns!$D$120,$C$10=dropdowns!$E$120),IFERROR((J50/(1-(1+$C$7/12)^-($C$4-I46)))-J50,0),0))))</f>
        <v>0</v>
      </c>
      <c r="K51" s="380">
        <f>IF(K48&lt;0.001,0,IF(K46&lt;$C$11,0,IF(OR($C$10=dropdowns!$B$121,$C$10=dropdowns!$C$121,$C$10=dropdowns!$D$121,$C$10=dropdowns!$E$121),$C$9,IF(OR($C$10=dropdowns!$B$120,$C$10=dropdowns!$C$120,$C$10=dropdowns!$D$120,$C$10=dropdowns!$E$120),IFERROR((K50/(1-(1+$C$7/12)^-($C$4-J46)))-K50,0),0))))</f>
        <v>0</v>
      </c>
      <c r="L51" s="380">
        <f>IF(L48&lt;0.001,0,IF(L46&lt;$C$11,0,IF(OR($C$10=dropdowns!$B$121,$C$10=dropdowns!$C$121,$C$10=dropdowns!$D$121,$C$10=dropdowns!$E$121),$C$9,IF(OR($C$10=dropdowns!$B$120,$C$10=dropdowns!$C$120,$C$10=dropdowns!$D$120,$C$10=dropdowns!$E$120),IFERROR((L50/(1-(1+$C$7/12)^-($C$4-K46)))-L50,0),0))))</f>
        <v>0</v>
      </c>
      <c r="M51" s="380">
        <f>IF(M48&lt;0.001,0,IF(M46&lt;$C$11,0,IF(OR($C$10=dropdowns!$B$121,$C$10=dropdowns!$C$121,$C$10=dropdowns!$D$121,$C$10=dropdowns!$E$121),$C$9,IF(OR($C$10=dropdowns!$B$120,$C$10=dropdowns!$C$120,$C$10=dropdowns!$D$120,$C$10=dropdowns!$E$120),IFERROR((M50/(1-(1+$C$7/12)^-($C$4-L46)))-M50,0),0))))</f>
        <v>0</v>
      </c>
      <c r="N51" s="380">
        <f>IF(N48&lt;0.001,0,IF(N46&lt;$C$11,0,IF(OR($C$10=dropdowns!$B$121,$C$10=dropdowns!$C$121,$C$10=dropdowns!$D$121,$C$10=dropdowns!$E$121),$C$9,IF(OR($C$10=dropdowns!$B$120,$C$10=dropdowns!$C$120,$C$10=dropdowns!$D$120,$C$10=dropdowns!$E$120),IFERROR((N50/(1-(1+$C$7/12)^-($C$4-M46)))-N50,0),0))))</f>
        <v>0</v>
      </c>
      <c r="O51" s="381">
        <f>SUM(C51:N51)</f>
        <v>0</v>
      </c>
      <c r="P51" s="261"/>
    </row>
    <row r="52" spans="2:16" x14ac:dyDescent="0.25">
      <c r="B52" s="385" t="str">
        <f>Vertaling!$A$369</f>
        <v>Te betalen per maand</v>
      </c>
      <c r="C52" s="386">
        <f t="shared" ref="C52:N52" si="19">SUM(C50:C51)</f>
        <v>0</v>
      </c>
      <c r="D52" s="386">
        <f t="shared" si="19"/>
        <v>0</v>
      </c>
      <c r="E52" s="386">
        <f t="shared" si="19"/>
        <v>0</v>
      </c>
      <c r="F52" s="386">
        <f t="shared" si="19"/>
        <v>0</v>
      </c>
      <c r="G52" s="386">
        <f t="shared" si="19"/>
        <v>0</v>
      </c>
      <c r="H52" s="386">
        <f t="shared" si="19"/>
        <v>0</v>
      </c>
      <c r="I52" s="386">
        <f t="shared" si="19"/>
        <v>0</v>
      </c>
      <c r="J52" s="386">
        <f t="shared" si="19"/>
        <v>0</v>
      </c>
      <c r="K52" s="386">
        <f t="shared" si="19"/>
        <v>0</v>
      </c>
      <c r="L52" s="386">
        <f t="shared" si="19"/>
        <v>0</v>
      </c>
      <c r="M52" s="386">
        <f t="shared" si="19"/>
        <v>0</v>
      </c>
      <c r="N52" s="386">
        <f t="shared" si="19"/>
        <v>0</v>
      </c>
      <c r="O52" s="387">
        <f>SUM(C52:N52)</f>
        <v>0</v>
      </c>
      <c r="P52" s="261"/>
    </row>
    <row r="53" spans="2:16" x14ac:dyDescent="0.25">
      <c r="B53" s="359"/>
      <c r="C53" s="359"/>
      <c r="D53" s="359"/>
      <c r="E53" s="359"/>
      <c r="F53" s="359"/>
      <c r="G53" s="359"/>
      <c r="H53" s="359"/>
      <c r="I53" s="359"/>
      <c r="J53" s="359"/>
      <c r="K53" s="359"/>
      <c r="L53" s="359"/>
      <c r="M53" s="359"/>
      <c r="N53" s="359"/>
      <c r="O53" s="359"/>
      <c r="P53" s="261"/>
    </row>
    <row r="54" spans="2:16" x14ac:dyDescent="0.25">
      <c r="B54" s="374" t="str">
        <f>Vertaling!$A$364&amp;N54/12</f>
        <v>Jaar 6</v>
      </c>
      <c r="C54" s="375">
        <f>N46+1</f>
        <v>61</v>
      </c>
      <c r="D54" s="375">
        <f t="shared" ref="D54:N54" si="20">C54+1</f>
        <v>62</v>
      </c>
      <c r="E54" s="375">
        <f t="shared" si="20"/>
        <v>63</v>
      </c>
      <c r="F54" s="375">
        <f t="shared" si="20"/>
        <v>64</v>
      </c>
      <c r="G54" s="375">
        <f t="shared" si="20"/>
        <v>65</v>
      </c>
      <c r="H54" s="375">
        <f t="shared" si="20"/>
        <v>66</v>
      </c>
      <c r="I54" s="375">
        <f t="shared" si="20"/>
        <v>67</v>
      </c>
      <c r="J54" s="375">
        <f t="shared" si="20"/>
        <v>68</v>
      </c>
      <c r="K54" s="375">
        <f t="shared" si="20"/>
        <v>69</v>
      </c>
      <c r="L54" s="375">
        <f t="shared" si="20"/>
        <v>70</v>
      </c>
      <c r="M54" s="375">
        <f t="shared" si="20"/>
        <v>71</v>
      </c>
      <c r="N54" s="375">
        <f t="shared" si="20"/>
        <v>72</v>
      </c>
      <c r="O54" s="375" t="s">
        <v>54</v>
      </c>
      <c r="P54" s="261"/>
    </row>
    <row r="55" spans="2:16" x14ac:dyDescent="0.25">
      <c r="B55" s="376"/>
      <c r="C55" s="377"/>
      <c r="D55" s="377"/>
      <c r="E55" s="377"/>
      <c r="F55" s="377"/>
      <c r="G55" s="377"/>
      <c r="H55" s="377"/>
      <c r="I55" s="377"/>
      <c r="J55" s="377"/>
      <c r="K55" s="377"/>
      <c r="L55" s="377"/>
      <c r="M55" s="377"/>
      <c r="N55" s="377"/>
      <c r="O55" s="377"/>
      <c r="P55" s="261"/>
    </row>
    <row r="56" spans="2:16" x14ac:dyDescent="0.25">
      <c r="B56" s="378" t="str">
        <f>Vertaling!$A$365</f>
        <v>Bedrag lening begin maand</v>
      </c>
      <c r="C56" s="379">
        <f>N48-N51</f>
        <v>0</v>
      </c>
      <c r="D56" s="380">
        <f t="shared" ref="D56:N56" si="21">C56-C59</f>
        <v>0</v>
      </c>
      <c r="E56" s="380">
        <f t="shared" si="21"/>
        <v>0</v>
      </c>
      <c r="F56" s="380">
        <f t="shared" si="21"/>
        <v>0</v>
      </c>
      <c r="G56" s="380">
        <f t="shared" si="21"/>
        <v>0</v>
      </c>
      <c r="H56" s="380">
        <f t="shared" si="21"/>
        <v>0</v>
      </c>
      <c r="I56" s="380">
        <f t="shared" si="21"/>
        <v>0</v>
      </c>
      <c r="J56" s="380">
        <f t="shared" si="21"/>
        <v>0</v>
      </c>
      <c r="K56" s="380">
        <f t="shared" si="21"/>
        <v>0</v>
      </c>
      <c r="L56" s="380">
        <f t="shared" si="21"/>
        <v>0</v>
      </c>
      <c r="M56" s="380">
        <f t="shared" si="21"/>
        <v>0</v>
      </c>
      <c r="N56" s="380">
        <f t="shared" si="21"/>
        <v>0</v>
      </c>
      <c r="O56" s="381"/>
      <c r="P56" s="261"/>
    </row>
    <row r="57" spans="2:16" x14ac:dyDescent="0.25">
      <c r="B57" s="378"/>
      <c r="C57" s="378"/>
      <c r="D57" s="378"/>
      <c r="E57" s="378"/>
      <c r="F57" s="378"/>
      <c r="G57" s="378"/>
      <c r="H57" s="378"/>
      <c r="I57" s="378"/>
      <c r="J57" s="378"/>
      <c r="K57" s="378"/>
      <c r="L57" s="378"/>
      <c r="M57" s="378"/>
      <c r="N57" s="378"/>
      <c r="O57" s="378"/>
      <c r="P57" s="261"/>
    </row>
    <row r="58" spans="2:16" x14ac:dyDescent="0.25">
      <c r="B58" s="378" t="str">
        <f>Vertaling!$A$366</f>
        <v>Kosten rente per maand</v>
      </c>
      <c r="C58" s="380">
        <f t="shared" ref="C58:N58" si="22">IF(C56&lt;0.001,0,$C$8*C56)</f>
        <v>0</v>
      </c>
      <c r="D58" s="380">
        <f t="shared" si="22"/>
        <v>0</v>
      </c>
      <c r="E58" s="380">
        <f t="shared" si="22"/>
        <v>0</v>
      </c>
      <c r="F58" s="380">
        <f t="shared" si="22"/>
        <v>0</v>
      </c>
      <c r="G58" s="380">
        <f t="shared" si="22"/>
        <v>0</v>
      </c>
      <c r="H58" s="380">
        <f t="shared" si="22"/>
        <v>0</v>
      </c>
      <c r="I58" s="380">
        <f t="shared" si="22"/>
        <v>0</v>
      </c>
      <c r="J58" s="380">
        <f t="shared" si="22"/>
        <v>0</v>
      </c>
      <c r="K58" s="380">
        <f t="shared" si="22"/>
        <v>0</v>
      </c>
      <c r="L58" s="380">
        <f t="shared" si="22"/>
        <v>0</v>
      </c>
      <c r="M58" s="380">
        <f t="shared" si="22"/>
        <v>0</v>
      </c>
      <c r="N58" s="380">
        <f t="shared" si="22"/>
        <v>0</v>
      </c>
      <c r="O58" s="381">
        <f>SUM(C58:N58)</f>
        <v>0</v>
      </c>
      <c r="P58" s="261"/>
    </row>
    <row r="59" spans="2:16" x14ac:dyDescent="0.25">
      <c r="B59" s="378" t="str">
        <f>Vertaling!$A$367</f>
        <v>Aflossing per maand</v>
      </c>
      <c r="C59" s="380">
        <f>IF(C56&lt;0.001,0,IF(C54&lt;$C$11,0,IF(OR($C$10=dropdowns!$B$121,$C$10=dropdowns!$C$121,$C$10=dropdowns!$D$121,$C$10=dropdowns!$E$121),$C$9,IF(OR($C$10=dropdowns!$B$120,$C$10=dropdowns!$C$120,$C$10=dropdowns!$D$120,$C$10=dropdowns!$E$120),IFERROR((C58/(1-(1+$C$7/12)^-($C$4-N46)))-C58,0),0))))</f>
        <v>0</v>
      </c>
      <c r="D59" s="380">
        <f>IF(D56&lt;0.001,0,IF(D54&lt;$C$11,0,IF(OR($C$10=dropdowns!$B$121,$C$10=dropdowns!$C$121,$C$10=dropdowns!$D$121,$C$10=dropdowns!$E$121),$C$9,IF(OR($C$10=dropdowns!$B$120,$C$10=dropdowns!$C$120,$C$10=dropdowns!$D$120,$C$10=dropdowns!$E$120),IFERROR((D58/(1-(1+$C$7/12)^-($C$4-C54)))-D58,0),0))))</f>
        <v>0</v>
      </c>
      <c r="E59" s="380">
        <f>IF(E56&lt;0.001,0,IF(E54&lt;$C$11,0,IF(OR($C$10=dropdowns!$B$121,$C$10=dropdowns!$C$121,$C$10=dropdowns!$D$121,$C$10=dropdowns!$E$121),$C$9,IF(OR($C$10=dropdowns!$B$120,$C$10=dropdowns!$C$120,$C$10=dropdowns!$D$120,$C$10=dropdowns!$E$120),IFERROR((E58/(1-(1+$C$7/12)^-($C$4-D54)))-E58,0),0))))</f>
        <v>0</v>
      </c>
      <c r="F59" s="380">
        <f>IF(F56&lt;0.001,0,IF(F54&lt;$C$11,0,IF(OR($C$10=dropdowns!$B$121,$C$10=dropdowns!$C$121,$C$10=dropdowns!$D$121,$C$10=dropdowns!$E$121),$C$9,IF(OR($C$10=dropdowns!$B$120,$C$10=dropdowns!$C$120,$C$10=dropdowns!$D$120,$C$10=dropdowns!$E$120),IFERROR((F58/(1-(1+$C$7/12)^-($C$4-E54)))-F58,0),0))))</f>
        <v>0</v>
      </c>
      <c r="G59" s="380">
        <f>IF(G56&lt;0.001,0,IF(G54&lt;$C$11,0,IF(OR($C$10=dropdowns!$B$121,$C$10=dropdowns!$C$121,$C$10=dropdowns!$D$121,$C$10=dropdowns!$E$121),$C$9,IF(OR($C$10=dropdowns!$B$120,$C$10=dropdowns!$C$120,$C$10=dropdowns!$D$120,$C$10=dropdowns!$E$120),IFERROR((G58/(1-(1+$C$7/12)^-($C$4-F54)))-G58,0),0))))</f>
        <v>0</v>
      </c>
      <c r="H59" s="380">
        <f>IF(H56&lt;0.001,0,IF(H54&lt;$C$11,0,IF(OR($C$10=dropdowns!$B$121,$C$10=dropdowns!$C$121,$C$10=dropdowns!$D$121,$C$10=dropdowns!$E$121),$C$9,IF(OR($C$10=dropdowns!$B$120,$C$10=dropdowns!$C$120,$C$10=dropdowns!$D$120,$C$10=dropdowns!$E$120),IFERROR((H58/(1-(1+$C$7/12)^-($C$4-G54)))-H58,0),0))))</f>
        <v>0</v>
      </c>
      <c r="I59" s="380">
        <f>IF(I56&lt;0.001,0,IF(I54&lt;$C$11,0,IF(OR($C$10=dropdowns!$B$121,$C$10=dropdowns!$C$121,$C$10=dropdowns!$D$121,$C$10=dropdowns!$E$121),$C$9,IF(OR($C$10=dropdowns!$B$120,$C$10=dropdowns!$C$120,$C$10=dropdowns!$D$120,$C$10=dropdowns!$E$120),IFERROR((I58/(1-(1+$C$7/12)^-($C$4-H54)))-I58,0),0))))</f>
        <v>0</v>
      </c>
      <c r="J59" s="380">
        <f>IF(J56&lt;0.001,0,IF(J54&lt;$C$11,0,IF(OR($C$10=dropdowns!$B$121,$C$10=dropdowns!$C$121,$C$10=dropdowns!$D$121,$C$10=dropdowns!$E$121),$C$9,IF(OR($C$10=dropdowns!$B$120,$C$10=dropdowns!$C$120,$C$10=dropdowns!$D$120,$C$10=dropdowns!$E$120),IFERROR((J58/(1-(1+$C$7/12)^-($C$4-I54)))-J58,0),0))))</f>
        <v>0</v>
      </c>
      <c r="K59" s="380">
        <f>IF(K56&lt;0.001,0,IF(K54&lt;$C$11,0,IF(OR($C$10=dropdowns!$B$121,$C$10=dropdowns!$C$121,$C$10=dropdowns!$D$121,$C$10=dropdowns!$E$121),$C$9,IF(OR($C$10=dropdowns!$B$120,$C$10=dropdowns!$C$120,$C$10=dropdowns!$D$120,$C$10=dropdowns!$E$120),IFERROR((K58/(1-(1+$C$7/12)^-($C$4-J54)))-K58,0),0))))</f>
        <v>0</v>
      </c>
      <c r="L59" s="380">
        <f>IF(L56&lt;0.001,0,IF(L54&lt;$C$11,0,IF(OR($C$10=dropdowns!$B$121,$C$10=dropdowns!$C$121,$C$10=dropdowns!$D$121,$C$10=dropdowns!$E$121),$C$9,IF(OR($C$10=dropdowns!$B$120,$C$10=dropdowns!$C$120,$C$10=dropdowns!$D$120,$C$10=dropdowns!$E$120),IFERROR((L58/(1-(1+$C$7/12)^-($C$4-K54)))-L58,0),0))))</f>
        <v>0</v>
      </c>
      <c r="M59" s="380">
        <f>IF(M56&lt;0.001,0,IF(M54&lt;$C$11,0,IF(OR($C$10=dropdowns!$B$121,$C$10=dropdowns!$C$121,$C$10=dropdowns!$D$121,$C$10=dropdowns!$E$121),$C$9,IF(OR($C$10=dropdowns!$B$120,$C$10=dropdowns!$C$120,$C$10=dropdowns!$D$120,$C$10=dropdowns!$E$120),IFERROR((M58/(1-(1+$C$7/12)^-($C$4-L54)))-M58,0),0))))</f>
        <v>0</v>
      </c>
      <c r="N59" s="380">
        <f>IF(N56&lt;0.001,0,IF(N54&lt;$C$11,0,IF(OR($C$10=dropdowns!$B$121,$C$10=dropdowns!$C$121,$C$10=dropdowns!$D$121,$C$10=dropdowns!$E$121),$C$9,IF(OR($C$10=dropdowns!$B$120,$C$10=dropdowns!$C$120,$C$10=dropdowns!$D$120,$C$10=dropdowns!$E$120),IFERROR((N58/(1-(1+$C$7/12)^-($C$4-M54)))-N58,0),0))))</f>
        <v>0</v>
      </c>
      <c r="O59" s="381">
        <f>SUM(C59:N59)</f>
        <v>0</v>
      </c>
      <c r="P59" s="261"/>
    </row>
    <row r="60" spans="2:16" x14ac:dyDescent="0.25">
      <c r="B60" s="385" t="str">
        <f>Vertaling!$A$369</f>
        <v>Te betalen per maand</v>
      </c>
      <c r="C60" s="386">
        <f t="shared" ref="C60:N60" si="23">SUM(C58:C59)</f>
        <v>0</v>
      </c>
      <c r="D60" s="386">
        <f t="shared" si="23"/>
        <v>0</v>
      </c>
      <c r="E60" s="386">
        <f t="shared" si="23"/>
        <v>0</v>
      </c>
      <c r="F60" s="386">
        <f t="shared" si="23"/>
        <v>0</v>
      </c>
      <c r="G60" s="386">
        <f t="shared" si="23"/>
        <v>0</v>
      </c>
      <c r="H60" s="386">
        <f t="shared" si="23"/>
        <v>0</v>
      </c>
      <c r="I60" s="386">
        <f t="shared" si="23"/>
        <v>0</v>
      </c>
      <c r="J60" s="386">
        <f t="shared" si="23"/>
        <v>0</v>
      </c>
      <c r="K60" s="386">
        <f t="shared" si="23"/>
        <v>0</v>
      </c>
      <c r="L60" s="386">
        <f t="shared" si="23"/>
        <v>0</v>
      </c>
      <c r="M60" s="386">
        <f t="shared" si="23"/>
        <v>0</v>
      </c>
      <c r="N60" s="386">
        <f t="shared" si="23"/>
        <v>0</v>
      </c>
      <c r="O60" s="387">
        <f>SUM(C60:N60)</f>
        <v>0</v>
      </c>
      <c r="P60" s="261"/>
    </row>
    <row r="61" spans="2:16" x14ac:dyDescent="0.25">
      <c r="B61" s="359"/>
      <c r="C61" s="359"/>
      <c r="D61" s="359"/>
      <c r="E61" s="359"/>
      <c r="F61" s="359"/>
      <c r="G61" s="359"/>
      <c r="H61" s="359"/>
      <c r="I61" s="359"/>
      <c r="J61" s="359"/>
      <c r="K61" s="359"/>
      <c r="L61" s="359"/>
      <c r="M61" s="359"/>
      <c r="N61" s="359"/>
      <c r="O61" s="359"/>
      <c r="P61" s="261"/>
    </row>
    <row r="62" spans="2:16" x14ac:dyDescent="0.25">
      <c r="B62" s="374" t="str">
        <f>Vertaling!$A$364&amp;N62/12</f>
        <v>Jaar 7</v>
      </c>
      <c r="C62" s="375">
        <f>N54+1</f>
        <v>73</v>
      </c>
      <c r="D62" s="375">
        <f t="shared" ref="D62:N62" si="24">C62+1</f>
        <v>74</v>
      </c>
      <c r="E62" s="375">
        <f t="shared" si="24"/>
        <v>75</v>
      </c>
      <c r="F62" s="375">
        <f t="shared" si="24"/>
        <v>76</v>
      </c>
      <c r="G62" s="375">
        <f t="shared" si="24"/>
        <v>77</v>
      </c>
      <c r="H62" s="375">
        <f t="shared" si="24"/>
        <v>78</v>
      </c>
      <c r="I62" s="375">
        <f t="shared" si="24"/>
        <v>79</v>
      </c>
      <c r="J62" s="375">
        <f t="shared" si="24"/>
        <v>80</v>
      </c>
      <c r="K62" s="375">
        <f t="shared" si="24"/>
        <v>81</v>
      </c>
      <c r="L62" s="375">
        <f t="shared" si="24"/>
        <v>82</v>
      </c>
      <c r="M62" s="375">
        <f t="shared" si="24"/>
        <v>83</v>
      </c>
      <c r="N62" s="375">
        <f t="shared" si="24"/>
        <v>84</v>
      </c>
      <c r="O62" s="375" t="s">
        <v>54</v>
      </c>
      <c r="P62" s="261"/>
    </row>
    <row r="63" spans="2:16" x14ac:dyDescent="0.25">
      <c r="B63" s="376"/>
      <c r="C63" s="377"/>
      <c r="D63" s="377"/>
      <c r="E63" s="377"/>
      <c r="F63" s="377"/>
      <c r="G63" s="377"/>
      <c r="H63" s="377"/>
      <c r="I63" s="377"/>
      <c r="J63" s="377"/>
      <c r="K63" s="377"/>
      <c r="L63" s="377"/>
      <c r="M63" s="377"/>
      <c r="N63" s="377"/>
      <c r="O63" s="377"/>
      <c r="P63" s="261"/>
    </row>
    <row r="64" spans="2:16" x14ac:dyDescent="0.25">
      <c r="B64" s="378" t="str">
        <f>Vertaling!$A$365</f>
        <v>Bedrag lening begin maand</v>
      </c>
      <c r="C64" s="379">
        <f>N56-N59</f>
        <v>0</v>
      </c>
      <c r="D64" s="380">
        <f t="shared" ref="D64:N64" si="25">C64-C67</f>
        <v>0</v>
      </c>
      <c r="E64" s="380">
        <f t="shared" si="25"/>
        <v>0</v>
      </c>
      <c r="F64" s="380">
        <f t="shared" si="25"/>
        <v>0</v>
      </c>
      <c r="G64" s="380">
        <f t="shared" si="25"/>
        <v>0</v>
      </c>
      <c r="H64" s="380">
        <f t="shared" si="25"/>
        <v>0</v>
      </c>
      <c r="I64" s="380">
        <f t="shared" si="25"/>
        <v>0</v>
      </c>
      <c r="J64" s="380">
        <f t="shared" si="25"/>
        <v>0</v>
      </c>
      <c r="K64" s="380">
        <f t="shared" si="25"/>
        <v>0</v>
      </c>
      <c r="L64" s="380">
        <f t="shared" si="25"/>
        <v>0</v>
      </c>
      <c r="M64" s="380">
        <f t="shared" si="25"/>
        <v>0</v>
      </c>
      <c r="N64" s="380">
        <f t="shared" si="25"/>
        <v>0</v>
      </c>
      <c r="O64" s="381"/>
      <c r="P64" s="261"/>
    </row>
    <row r="65" spans="2:16" x14ac:dyDescent="0.25">
      <c r="B65" s="378"/>
      <c r="C65" s="378"/>
      <c r="D65" s="378"/>
      <c r="E65" s="378"/>
      <c r="F65" s="378"/>
      <c r="G65" s="378"/>
      <c r="H65" s="378"/>
      <c r="I65" s="378"/>
      <c r="J65" s="378"/>
      <c r="K65" s="378"/>
      <c r="L65" s="378"/>
      <c r="M65" s="378"/>
      <c r="N65" s="378"/>
      <c r="O65" s="378"/>
      <c r="P65" s="261"/>
    </row>
    <row r="66" spans="2:16" x14ac:dyDescent="0.25">
      <c r="B66" s="378" t="str">
        <f>Vertaling!$A$366</f>
        <v>Kosten rente per maand</v>
      </c>
      <c r="C66" s="380">
        <f t="shared" ref="C66:N66" si="26">IF(C64&lt;0.001,0,$C$8*C64)</f>
        <v>0</v>
      </c>
      <c r="D66" s="380">
        <f t="shared" si="26"/>
        <v>0</v>
      </c>
      <c r="E66" s="380">
        <f t="shared" si="26"/>
        <v>0</v>
      </c>
      <c r="F66" s="380">
        <f t="shared" si="26"/>
        <v>0</v>
      </c>
      <c r="G66" s="380">
        <f t="shared" si="26"/>
        <v>0</v>
      </c>
      <c r="H66" s="380">
        <f t="shared" si="26"/>
        <v>0</v>
      </c>
      <c r="I66" s="380">
        <f t="shared" si="26"/>
        <v>0</v>
      </c>
      <c r="J66" s="380">
        <f t="shared" si="26"/>
        <v>0</v>
      </c>
      <c r="K66" s="380">
        <f t="shared" si="26"/>
        <v>0</v>
      </c>
      <c r="L66" s="380">
        <f t="shared" si="26"/>
        <v>0</v>
      </c>
      <c r="M66" s="380">
        <f t="shared" si="26"/>
        <v>0</v>
      </c>
      <c r="N66" s="380">
        <f t="shared" si="26"/>
        <v>0</v>
      </c>
      <c r="O66" s="381">
        <f>SUM(C66:N66)</f>
        <v>0</v>
      </c>
      <c r="P66" s="261"/>
    </row>
    <row r="67" spans="2:16" x14ac:dyDescent="0.25">
      <c r="B67" s="378" t="str">
        <f>Vertaling!$A$367</f>
        <v>Aflossing per maand</v>
      </c>
      <c r="C67" s="380">
        <f>IF(C64&lt;0.001,0,IF(C62&lt;$C$11,0,IF(OR($C$10=dropdowns!$B$121,$C$10=dropdowns!$C$121,$C$10=dropdowns!$D$121,$C$10=dropdowns!$E$121),$C$9,IF(OR($C$10=dropdowns!$B$120,$C$10=dropdowns!$C$120,$C$10=dropdowns!$D$120,$C$10=dropdowns!$E$120),IFERROR((C66/(1-(1+$C$7/12)^-($C$4-N54)))-C66,0),0))))</f>
        <v>0</v>
      </c>
      <c r="D67" s="380">
        <f>IF(D64&lt;0.001,0,IF(D62&lt;$C$11,0,IF(OR($C$10=dropdowns!$B$121,$C$10=dropdowns!$C$121,$C$10=dropdowns!$D$121,$C$10=dropdowns!$E$121),$C$9,IF(OR($C$10=dropdowns!$B$120,$C$10=dropdowns!$C$120,$C$10=dropdowns!$D$120,$C$10=dropdowns!$E$120),IFERROR((D66/(1-(1+$C$7/12)^-($C$4-C62)))-D66,0),0))))</f>
        <v>0</v>
      </c>
      <c r="E67" s="380">
        <f>IF(E64&lt;0.001,0,IF(E62&lt;$C$11,0,IF(OR($C$10=dropdowns!$B$121,$C$10=dropdowns!$C$121,$C$10=dropdowns!$D$121,$C$10=dropdowns!$E$121),$C$9,IF(OR($C$10=dropdowns!$B$120,$C$10=dropdowns!$C$120,$C$10=dropdowns!$D$120,$C$10=dropdowns!$E$120),IFERROR((E66/(1-(1+$C$7/12)^-($C$4-D62)))-E66,0),0))))</f>
        <v>0</v>
      </c>
      <c r="F67" s="380">
        <f>IF(F64&lt;0.001,0,IF(F62&lt;$C$11,0,IF(OR($C$10=dropdowns!$B$121,$C$10=dropdowns!$C$121,$C$10=dropdowns!$D$121,$C$10=dropdowns!$E$121),$C$9,IF(OR($C$10=dropdowns!$B$120,$C$10=dropdowns!$C$120,$C$10=dropdowns!$D$120,$C$10=dropdowns!$E$120),IFERROR((F66/(1-(1+$C$7/12)^-($C$4-E62)))-F66,0),0))))</f>
        <v>0</v>
      </c>
      <c r="G67" s="380">
        <f>IF(G64&lt;0.001,0,IF(G62&lt;$C$11,0,IF(OR($C$10=dropdowns!$B$121,$C$10=dropdowns!$C$121,$C$10=dropdowns!$D$121,$C$10=dropdowns!$E$121),$C$9,IF(OR($C$10=dropdowns!$B$120,$C$10=dropdowns!$C$120,$C$10=dropdowns!$D$120,$C$10=dropdowns!$E$120),IFERROR((G66/(1-(1+$C$7/12)^-($C$4-F62)))-G66,0),0))))</f>
        <v>0</v>
      </c>
      <c r="H67" s="380">
        <f>IF(H64&lt;0.001,0,IF(H62&lt;$C$11,0,IF(OR($C$10=dropdowns!$B$121,$C$10=dropdowns!$C$121,$C$10=dropdowns!$D$121,$C$10=dropdowns!$E$121),$C$9,IF(OR($C$10=dropdowns!$B$120,$C$10=dropdowns!$C$120,$C$10=dropdowns!$D$120,$C$10=dropdowns!$E$120),IFERROR((H66/(1-(1+$C$7/12)^-($C$4-G62)))-H66,0),0))))</f>
        <v>0</v>
      </c>
      <c r="I67" s="380">
        <f>IF(I64&lt;0.001,0,IF(I62&lt;$C$11,0,IF(OR($C$10=dropdowns!$B$121,$C$10=dropdowns!$C$121,$C$10=dropdowns!$D$121,$C$10=dropdowns!$E$121),$C$9,IF(OR($C$10=dropdowns!$B$120,$C$10=dropdowns!$C$120,$C$10=dropdowns!$D$120,$C$10=dropdowns!$E$120),IFERROR((I66/(1-(1+$C$7/12)^-($C$4-H62)))-I66,0),0))))</f>
        <v>0</v>
      </c>
      <c r="J67" s="380">
        <f>IF(J64&lt;0.001,0,IF(J62&lt;$C$11,0,IF(OR($C$10=dropdowns!$B$121,$C$10=dropdowns!$C$121,$C$10=dropdowns!$D$121,$C$10=dropdowns!$E$121),$C$9,IF(OR($C$10=dropdowns!$B$120,$C$10=dropdowns!$C$120,$C$10=dropdowns!$D$120,$C$10=dropdowns!$E$120),IFERROR((J66/(1-(1+$C$7/12)^-($C$4-I62)))-J66,0),0))))</f>
        <v>0</v>
      </c>
      <c r="K67" s="380">
        <f>IF(K64&lt;0.001,0,IF(K62&lt;$C$11,0,IF(OR($C$10=dropdowns!$B$121,$C$10=dropdowns!$C$121,$C$10=dropdowns!$D$121,$C$10=dropdowns!$E$121),$C$9,IF(OR($C$10=dropdowns!$B$120,$C$10=dropdowns!$C$120,$C$10=dropdowns!$D$120,$C$10=dropdowns!$E$120),IFERROR((K66/(1-(1+$C$7/12)^-($C$4-J62)))-K66,0),0))))</f>
        <v>0</v>
      </c>
      <c r="L67" s="380">
        <f>IF(L64&lt;0.001,0,IF(L62&lt;$C$11,0,IF(OR($C$10=dropdowns!$B$121,$C$10=dropdowns!$C$121,$C$10=dropdowns!$D$121,$C$10=dropdowns!$E$121),$C$9,IF(OR($C$10=dropdowns!$B$120,$C$10=dropdowns!$C$120,$C$10=dropdowns!$D$120,$C$10=dropdowns!$E$120),IFERROR((L66/(1-(1+$C$7/12)^-($C$4-K62)))-L66,0),0))))</f>
        <v>0</v>
      </c>
      <c r="M67" s="380">
        <f>IF(M64&lt;0.001,0,IF(M62&lt;$C$11,0,IF(OR($C$10=dropdowns!$B$121,$C$10=dropdowns!$C$121,$C$10=dropdowns!$D$121,$C$10=dropdowns!$E$121),$C$9,IF(OR($C$10=dropdowns!$B$120,$C$10=dropdowns!$C$120,$C$10=dropdowns!$D$120,$C$10=dropdowns!$E$120),IFERROR((M66/(1-(1+$C$7/12)^-($C$4-L62)))-M66,0),0))))</f>
        <v>0</v>
      </c>
      <c r="N67" s="380">
        <f>IF(N64&lt;0.001,0,IF(N62&lt;$C$11,0,IF(OR($C$10=dropdowns!$B$121,$C$10=dropdowns!$C$121,$C$10=dropdowns!$D$121,$C$10=dropdowns!$E$121),$C$9,IF(OR($C$10=dropdowns!$B$120,$C$10=dropdowns!$C$120,$C$10=dropdowns!$D$120,$C$10=dropdowns!$E$120),IFERROR((N66/(1-(1+$C$7/12)^-($C$4-M62)))-N66,0),0))))</f>
        <v>0</v>
      </c>
      <c r="O67" s="381">
        <f>SUM(C67:N67)</f>
        <v>0</v>
      </c>
      <c r="P67" s="261"/>
    </row>
    <row r="68" spans="2:16" x14ac:dyDescent="0.25">
      <c r="B68" s="385" t="str">
        <f>Vertaling!$A$369</f>
        <v>Te betalen per maand</v>
      </c>
      <c r="C68" s="386">
        <f t="shared" ref="C68:N68" si="27">SUM(C66:C67)</f>
        <v>0</v>
      </c>
      <c r="D68" s="386">
        <f t="shared" si="27"/>
        <v>0</v>
      </c>
      <c r="E68" s="386">
        <f t="shared" si="27"/>
        <v>0</v>
      </c>
      <c r="F68" s="386">
        <f t="shared" si="27"/>
        <v>0</v>
      </c>
      <c r="G68" s="386">
        <f t="shared" si="27"/>
        <v>0</v>
      </c>
      <c r="H68" s="386">
        <f t="shared" si="27"/>
        <v>0</v>
      </c>
      <c r="I68" s="386">
        <f t="shared" si="27"/>
        <v>0</v>
      </c>
      <c r="J68" s="386">
        <f t="shared" si="27"/>
        <v>0</v>
      </c>
      <c r="K68" s="386">
        <f t="shared" si="27"/>
        <v>0</v>
      </c>
      <c r="L68" s="386">
        <f t="shared" si="27"/>
        <v>0</v>
      </c>
      <c r="M68" s="386">
        <f t="shared" si="27"/>
        <v>0</v>
      </c>
      <c r="N68" s="386">
        <f t="shared" si="27"/>
        <v>0</v>
      </c>
      <c r="O68" s="387">
        <f>SUM(C68:N68)</f>
        <v>0</v>
      </c>
      <c r="P68" s="261"/>
    </row>
    <row r="69" spans="2:16" x14ac:dyDescent="0.25">
      <c r="B69" s="359"/>
      <c r="C69" s="359"/>
      <c r="D69" s="359"/>
      <c r="E69" s="359"/>
      <c r="F69" s="359"/>
      <c r="G69" s="359"/>
      <c r="H69" s="359"/>
      <c r="I69" s="359"/>
      <c r="J69" s="359"/>
      <c r="K69" s="359"/>
      <c r="L69" s="359"/>
      <c r="M69" s="359"/>
      <c r="N69" s="359"/>
      <c r="O69" s="359"/>
      <c r="P69" s="261"/>
    </row>
    <row r="70" spans="2:16" x14ac:dyDescent="0.25">
      <c r="B70" s="374" t="str">
        <f>Vertaling!$A$364&amp;N70/12</f>
        <v>Jaar 8</v>
      </c>
      <c r="C70" s="375">
        <f>N62+1</f>
        <v>85</v>
      </c>
      <c r="D70" s="375">
        <f t="shared" ref="D70:N70" si="28">C70+1</f>
        <v>86</v>
      </c>
      <c r="E70" s="375">
        <f t="shared" si="28"/>
        <v>87</v>
      </c>
      <c r="F70" s="375">
        <f t="shared" si="28"/>
        <v>88</v>
      </c>
      <c r="G70" s="375">
        <f t="shared" si="28"/>
        <v>89</v>
      </c>
      <c r="H70" s="375">
        <f t="shared" si="28"/>
        <v>90</v>
      </c>
      <c r="I70" s="375">
        <f t="shared" si="28"/>
        <v>91</v>
      </c>
      <c r="J70" s="375">
        <f t="shared" si="28"/>
        <v>92</v>
      </c>
      <c r="K70" s="375">
        <f t="shared" si="28"/>
        <v>93</v>
      </c>
      <c r="L70" s="375">
        <f t="shared" si="28"/>
        <v>94</v>
      </c>
      <c r="M70" s="375">
        <f t="shared" si="28"/>
        <v>95</v>
      </c>
      <c r="N70" s="375">
        <f t="shared" si="28"/>
        <v>96</v>
      </c>
      <c r="O70" s="375" t="s">
        <v>54</v>
      </c>
      <c r="P70" s="261"/>
    </row>
    <row r="71" spans="2:16" x14ac:dyDescent="0.25">
      <c r="B71" s="376"/>
      <c r="C71" s="377"/>
      <c r="D71" s="377"/>
      <c r="E71" s="377"/>
      <c r="F71" s="377"/>
      <c r="G71" s="377"/>
      <c r="H71" s="377"/>
      <c r="I71" s="377"/>
      <c r="J71" s="377"/>
      <c r="K71" s="377"/>
      <c r="L71" s="377"/>
      <c r="M71" s="377"/>
      <c r="N71" s="377"/>
      <c r="O71" s="377"/>
      <c r="P71" s="261"/>
    </row>
    <row r="72" spans="2:16" x14ac:dyDescent="0.25">
      <c r="B72" s="378" t="str">
        <f>Vertaling!$A$365</f>
        <v>Bedrag lening begin maand</v>
      </c>
      <c r="C72" s="379">
        <f>N64-N67</f>
        <v>0</v>
      </c>
      <c r="D72" s="380">
        <f t="shared" ref="D72:N72" si="29">C72-C75</f>
        <v>0</v>
      </c>
      <c r="E72" s="380">
        <f t="shared" si="29"/>
        <v>0</v>
      </c>
      <c r="F72" s="380">
        <f t="shared" si="29"/>
        <v>0</v>
      </c>
      <c r="G72" s="380">
        <f t="shared" si="29"/>
        <v>0</v>
      </c>
      <c r="H72" s="380">
        <f t="shared" si="29"/>
        <v>0</v>
      </c>
      <c r="I72" s="380">
        <f t="shared" si="29"/>
        <v>0</v>
      </c>
      <c r="J72" s="380">
        <f t="shared" si="29"/>
        <v>0</v>
      </c>
      <c r="K72" s="380">
        <f t="shared" si="29"/>
        <v>0</v>
      </c>
      <c r="L72" s="380">
        <f t="shared" si="29"/>
        <v>0</v>
      </c>
      <c r="M72" s="380">
        <f t="shared" si="29"/>
        <v>0</v>
      </c>
      <c r="N72" s="380">
        <f t="shared" si="29"/>
        <v>0</v>
      </c>
      <c r="O72" s="381"/>
      <c r="P72" s="261"/>
    </row>
    <row r="73" spans="2:16" x14ac:dyDescent="0.25">
      <c r="B73" s="378"/>
      <c r="C73" s="378"/>
      <c r="D73" s="378"/>
      <c r="E73" s="378"/>
      <c r="F73" s="378"/>
      <c r="G73" s="378"/>
      <c r="H73" s="378"/>
      <c r="I73" s="378"/>
      <c r="J73" s="378"/>
      <c r="K73" s="378"/>
      <c r="L73" s="378"/>
      <c r="M73" s="378"/>
      <c r="N73" s="378"/>
      <c r="O73" s="378"/>
      <c r="P73" s="261"/>
    </row>
    <row r="74" spans="2:16" x14ac:dyDescent="0.25">
      <c r="B74" s="378" t="str">
        <f>Vertaling!$A$366</f>
        <v>Kosten rente per maand</v>
      </c>
      <c r="C74" s="380">
        <f t="shared" ref="C74:N74" si="30">IF(C72&lt;0.001,0,$C$8*C72)</f>
        <v>0</v>
      </c>
      <c r="D74" s="380">
        <f t="shared" si="30"/>
        <v>0</v>
      </c>
      <c r="E74" s="380">
        <f t="shared" si="30"/>
        <v>0</v>
      </c>
      <c r="F74" s="380">
        <f t="shared" si="30"/>
        <v>0</v>
      </c>
      <c r="G74" s="380">
        <f t="shared" si="30"/>
        <v>0</v>
      </c>
      <c r="H74" s="380">
        <f t="shared" si="30"/>
        <v>0</v>
      </c>
      <c r="I74" s="380">
        <f t="shared" si="30"/>
        <v>0</v>
      </c>
      <c r="J74" s="380">
        <f t="shared" si="30"/>
        <v>0</v>
      </c>
      <c r="K74" s="380">
        <f t="shared" si="30"/>
        <v>0</v>
      </c>
      <c r="L74" s="380">
        <f t="shared" si="30"/>
        <v>0</v>
      </c>
      <c r="M74" s="380">
        <f t="shared" si="30"/>
        <v>0</v>
      </c>
      <c r="N74" s="380">
        <f t="shared" si="30"/>
        <v>0</v>
      </c>
      <c r="O74" s="381">
        <f>SUM(C74:N74)</f>
        <v>0</v>
      </c>
      <c r="P74" s="261"/>
    </row>
    <row r="75" spans="2:16" x14ac:dyDescent="0.25">
      <c r="B75" s="378" t="str">
        <f>Vertaling!$A$367</f>
        <v>Aflossing per maand</v>
      </c>
      <c r="C75" s="380">
        <f>IF(C72&lt;0.001,0,IF(C70&lt;$C$11,0,IF(OR($C$10=dropdowns!$B$121,$C$10=dropdowns!$C$121,$C$10=dropdowns!$D$121,$C$10=dropdowns!$E$121),$C$9,IF(OR($C$10=dropdowns!$B$120,$C$10=dropdowns!$C$120,$C$10=dropdowns!$D$120,$C$10=dropdowns!$E$120),IFERROR((C74/(1-(1+$C$7/12)^-($C$4-N62)))-C74,0),0))))</f>
        <v>0</v>
      </c>
      <c r="D75" s="380">
        <f>IF(D72&lt;0.001,0,IF(D70&lt;$C$11,0,IF(OR($C$10=dropdowns!$B$121,$C$10=dropdowns!$C$121,$C$10=dropdowns!$D$121,$C$10=dropdowns!$E$121),$C$9,IF(OR($C$10=dropdowns!$B$120,$C$10=dropdowns!$C$120,$C$10=dropdowns!$D$120,$C$10=dropdowns!$E$120),IFERROR((D74/(1-(1+$C$7/12)^-($C$4-C70)))-D74,0),0))))</f>
        <v>0</v>
      </c>
      <c r="E75" s="380">
        <f>IF(E72&lt;0.001,0,IF(E70&lt;$C$11,0,IF(OR($C$10=dropdowns!$B$121,$C$10=dropdowns!$C$121,$C$10=dropdowns!$D$121,$C$10=dropdowns!$E$121),$C$9,IF(OR($C$10=dropdowns!$B$120,$C$10=dropdowns!$C$120,$C$10=dropdowns!$D$120,$C$10=dropdowns!$E$120),IFERROR((E74/(1-(1+$C$7/12)^-($C$4-D70)))-E74,0),0))))</f>
        <v>0</v>
      </c>
      <c r="F75" s="380">
        <f>IF(F72&lt;0.001,0,IF(F70&lt;$C$11,0,IF(OR($C$10=dropdowns!$B$121,$C$10=dropdowns!$C$121,$C$10=dropdowns!$D$121,$C$10=dropdowns!$E$121),$C$9,IF(OR($C$10=dropdowns!$B$120,$C$10=dropdowns!$C$120,$C$10=dropdowns!$D$120,$C$10=dropdowns!$E$120),IFERROR((F74/(1-(1+$C$7/12)^-($C$4-E70)))-F74,0),0))))</f>
        <v>0</v>
      </c>
      <c r="G75" s="380">
        <f>IF(G72&lt;0.001,0,IF(G70&lt;$C$11,0,IF(OR($C$10=dropdowns!$B$121,$C$10=dropdowns!$C$121,$C$10=dropdowns!$D$121,$C$10=dropdowns!$E$121),$C$9,IF(OR($C$10=dropdowns!$B$120,$C$10=dropdowns!$C$120,$C$10=dropdowns!$D$120,$C$10=dropdowns!$E$120),IFERROR((G74/(1-(1+$C$7/12)^-($C$4-F70)))-G74,0),0))))</f>
        <v>0</v>
      </c>
      <c r="H75" s="380">
        <f>IF(H72&lt;0.001,0,IF(H70&lt;$C$11,0,IF(OR($C$10=dropdowns!$B$121,$C$10=dropdowns!$C$121,$C$10=dropdowns!$D$121,$C$10=dropdowns!$E$121),$C$9,IF(OR($C$10=dropdowns!$B$120,$C$10=dropdowns!$C$120,$C$10=dropdowns!$D$120,$C$10=dropdowns!$E$120),IFERROR((H74/(1-(1+$C$7/12)^-($C$4-G70)))-H74,0),0))))</f>
        <v>0</v>
      </c>
      <c r="I75" s="380">
        <f>IF(I72&lt;0.001,0,IF(I70&lt;$C$11,0,IF(OR($C$10=dropdowns!$B$121,$C$10=dropdowns!$C$121,$C$10=dropdowns!$D$121,$C$10=dropdowns!$E$121),$C$9,IF(OR($C$10=dropdowns!$B$120,$C$10=dropdowns!$C$120,$C$10=dropdowns!$D$120,$C$10=dropdowns!$E$120),IFERROR((I74/(1-(1+$C$7/12)^-($C$4-H70)))-I74,0),0))))</f>
        <v>0</v>
      </c>
      <c r="J75" s="380">
        <f>IF(J72&lt;0.001,0,IF(J70&lt;$C$11,0,IF(OR($C$10=dropdowns!$B$121,$C$10=dropdowns!$C$121,$C$10=dropdowns!$D$121,$C$10=dropdowns!$E$121),$C$9,IF(OR($C$10=dropdowns!$B$120,$C$10=dropdowns!$C$120,$C$10=dropdowns!$D$120,$C$10=dropdowns!$E$120),IFERROR((J74/(1-(1+$C$7/12)^-($C$4-I70)))-J74,0),0))))</f>
        <v>0</v>
      </c>
      <c r="K75" s="380">
        <f>IF(K72&lt;0.001,0,IF(K70&lt;$C$11,0,IF(OR($C$10=dropdowns!$B$121,$C$10=dropdowns!$C$121,$C$10=dropdowns!$D$121,$C$10=dropdowns!$E$121),$C$9,IF(OR($C$10=dropdowns!$B$120,$C$10=dropdowns!$C$120,$C$10=dropdowns!$D$120,$C$10=dropdowns!$E$120),IFERROR((K74/(1-(1+$C$7/12)^-($C$4-J70)))-K74,0),0))))</f>
        <v>0</v>
      </c>
      <c r="L75" s="380">
        <f>IF(L72&lt;0.001,0,IF(L70&lt;$C$11,0,IF(OR($C$10=dropdowns!$B$121,$C$10=dropdowns!$C$121,$C$10=dropdowns!$D$121,$C$10=dropdowns!$E$121),$C$9,IF(OR($C$10=dropdowns!$B$120,$C$10=dropdowns!$C$120,$C$10=dropdowns!$D$120,$C$10=dropdowns!$E$120),IFERROR((L74/(1-(1+$C$7/12)^-($C$4-K70)))-L74,0),0))))</f>
        <v>0</v>
      </c>
      <c r="M75" s="380">
        <f>IF(M72&lt;0.001,0,IF(M70&lt;$C$11,0,IF(OR($C$10=dropdowns!$B$121,$C$10=dropdowns!$C$121,$C$10=dropdowns!$D$121,$C$10=dropdowns!$E$121),$C$9,IF(OR($C$10=dropdowns!$B$120,$C$10=dropdowns!$C$120,$C$10=dropdowns!$D$120,$C$10=dropdowns!$E$120),IFERROR((M74/(1-(1+$C$7/12)^-($C$4-L70)))-M74,0),0))))</f>
        <v>0</v>
      </c>
      <c r="N75" s="380">
        <f>IF(N72&lt;0.001,0,IF(N70&lt;$C$11,0,IF(OR($C$10=dropdowns!$B$121,$C$10=dropdowns!$C$121,$C$10=dropdowns!$D$121,$C$10=dropdowns!$E$121),$C$9,IF(OR($C$10=dropdowns!$B$120,$C$10=dropdowns!$C$120,$C$10=dropdowns!$D$120,$C$10=dropdowns!$E$120),IFERROR((N74/(1-(1+$C$7/12)^-($C$4-M70)))-N74,0),0))))</f>
        <v>0</v>
      </c>
      <c r="O75" s="381">
        <f>SUM(C75:N75)</f>
        <v>0</v>
      </c>
      <c r="P75" s="261"/>
    </row>
    <row r="76" spans="2:16" x14ac:dyDescent="0.25">
      <c r="B76" s="385" t="str">
        <f>Vertaling!$A$369</f>
        <v>Te betalen per maand</v>
      </c>
      <c r="C76" s="386">
        <f t="shared" ref="C76:N76" si="31">SUM(C74:C75)</f>
        <v>0</v>
      </c>
      <c r="D76" s="386">
        <f t="shared" si="31"/>
        <v>0</v>
      </c>
      <c r="E76" s="386">
        <f t="shared" si="31"/>
        <v>0</v>
      </c>
      <c r="F76" s="386">
        <f t="shared" si="31"/>
        <v>0</v>
      </c>
      <c r="G76" s="386">
        <f t="shared" si="31"/>
        <v>0</v>
      </c>
      <c r="H76" s="386">
        <f t="shared" si="31"/>
        <v>0</v>
      </c>
      <c r="I76" s="386">
        <f t="shared" si="31"/>
        <v>0</v>
      </c>
      <c r="J76" s="386">
        <f t="shared" si="31"/>
        <v>0</v>
      </c>
      <c r="K76" s="386">
        <f t="shared" si="31"/>
        <v>0</v>
      </c>
      <c r="L76" s="386">
        <f t="shared" si="31"/>
        <v>0</v>
      </c>
      <c r="M76" s="386">
        <f t="shared" si="31"/>
        <v>0</v>
      </c>
      <c r="N76" s="386">
        <f t="shared" si="31"/>
        <v>0</v>
      </c>
      <c r="O76" s="387">
        <f>SUM(C76:N76)</f>
        <v>0</v>
      </c>
      <c r="P76" s="261"/>
    </row>
    <row r="77" spans="2:16" x14ac:dyDescent="0.25">
      <c r="B77" s="359"/>
      <c r="C77" s="359"/>
      <c r="D77" s="359"/>
      <c r="E77" s="359"/>
      <c r="F77" s="359"/>
      <c r="G77" s="359"/>
      <c r="H77" s="359"/>
      <c r="I77" s="359"/>
      <c r="J77" s="359"/>
      <c r="K77" s="359"/>
      <c r="L77" s="359"/>
      <c r="M77" s="359"/>
      <c r="N77" s="359"/>
      <c r="O77" s="359"/>
      <c r="P77" s="261"/>
    </row>
    <row r="78" spans="2:16" x14ac:dyDescent="0.25">
      <c r="B78" s="374" t="str">
        <f>Vertaling!$A$364&amp;N78/12</f>
        <v>Jaar 9</v>
      </c>
      <c r="C78" s="375">
        <f>N70+1</f>
        <v>97</v>
      </c>
      <c r="D78" s="375">
        <f t="shared" ref="D78:N78" si="32">C78+1</f>
        <v>98</v>
      </c>
      <c r="E78" s="375">
        <f t="shared" si="32"/>
        <v>99</v>
      </c>
      <c r="F78" s="375">
        <f t="shared" si="32"/>
        <v>100</v>
      </c>
      <c r="G78" s="375">
        <f t="shared" si="32"/>
        <v>101</v>
      </c>
      <c r="H78" s="375">
        <f t="shared" si="32"/>
        <v>102</v>
      </c>
      <c r="I78" s="375">
        <f t="shared" si="32"/>
        <v>103</v>
      </c>
      <c r="J78" s="375">
        <f t="shared" si="32"/>
        <v>104</v>
      </c>
      <c r="K78" s="375">
        <f t="shared" si="32"/>
        <v>105</v>
      </c>
      <c r="L78" s="375">
        <f t="shared" si="32"/>
        <v>106</v>
      </c>
      <c r="M78" s="375">
        <f t="shared" si="32"/>
        <v>107</v>
      </c>
      <c r="N78" s="375">
        <f t="shared" si="32"/>
        <v>108</v>
      </c>
      <c r="O78" s="375" t="s">
        <v>54</v>
      </c>
      <c r="P78" s="261"/>
    </row>
    <row r="79" spans="2:16" x14ac:dyDescent="0.25">
      <c r="B79" s="376"/>
      <c r="C79" s="377"/>
      <c r="D79" s="377"/>
      <c r="E79" s="377"/>
      <c r="F79" s="377"/>
      <c r="G79" s="377"/>
      <c r="H79" s="377"/>
      <c r="I79" s="377"/>
      <c r="J79" s="377"/>
      <c r="K79" s="377"/>
      <c r="L79" s="377"/>
      <c r="M79" s="377"/>
      <c r="N79" s="377"/>
      <c r="O79" s="377"/>
      <c r="P79" s="261"/>
    </row>
    <row r="80" spans="2:16" x14ac:dyDescent="0.25">
      <c r="B80" s="378" t="str">
        <f>Vertaling!$A$365</f>
        <v>Bedrag lening begin maand</v>
      </c>
      <c r="C80" s="379">
        <f>N72-N75</f>
        <v>0</v>
      </c>
      <c r="D80" s="380">
        <f t="shared" ref="D80:N80" si="33">C80-C83</f>
        <v>0</v>
      </c>
      <c r="E80" s="380">
        <f t="shared" si="33"/>
        <v>0</v>
      </c>
      <c r="F80" s="380">
        <f t="shared" si="33"/>
        <v>0</v>
      </c>
      <c r="G80" s="380">
        <f t="shared" si="33"/>
        <v>0</v>
      </c>
      <c r="H80" s="380">
        <f t="shared" si="33"/>
        <v>0</v>
      </c>
      <c r="I80" s="380">
        <f t="shared" si="33"/>
        <v>0</v>
      </c>
      <c r="J80" s="380">
        <f t="shared" si="33"/>
        <v>0</v>
      </c>
      <c r="K80" s="380">
        <f t="shared" si="33"/>
        <v>0</v>
      </c>
      <c r="L80" s="380">
        <f t="shared" si="33"/>
        <v>0</v>
      </c>
      <c r="M80" s="380">
        <f t="shared" si="33"/>
        <v>0</v>
      </c>
      <c r="N80" s="380">
        <f t="shared" si="33"/>
        <v>0</v>
      </c>
      <c r="O80" s="381"/>
      <c r="P80" s="261"/>
    </row>
    <row r="81" spans="2:18" x14ac:dyDescent="0.25">
      <c r="B81" s="378"/>
      <c r="C81" s="378"/>
      <c r="D81" s="378"/>
      <c r="E81" s="378"/>
      <c r="F81" s="378"/>
      <c r="G81" s="378"/>
      <c r="H81" s="378"/>
      <c r="I81" s="378"/>
      <c r="J81" s="378"/>
      <c r="K81" s="378"/>
      <c r="L81" s="378"/>
      <c r="M81" s="378"/>
      <c r="N81" s="378"/>
      <c r="O81" s="378"/>
      <c r="P81" s="261"/>
    </row>
    <row r="82" spans="2:18" x14ac:dyDescent="0.25">
      <c r="B82" s="378" t="str">
        <f>Vertaling!$A$366</f>
        <v>Kosten rente per maand</v>
      </c>
      <c r="C82" s="380">
        <f t="shared" ref="C82:N82" si="34">IF(C80&lt;0.001,0,$C$8*C80)</f>
        <v>0</v>
      </c>
      <c r="D82" s="380">
        <f t="shared" si="34"/>
        <v>0</v>
      </c>
      <c r="E82" s="380">
        <f t="shared" si="34"/>
        <v>0</v>
      </c>
      <c r="F82" s="380">
        <f t="shared" si="34"/>
        <v>0</v>
      </c>
      <c r="G82" s="380">
        <f t="shared" si="34"/>
        <v>0</v>
      </c>
      <c r="H82" s="380">
        <f t="shared" si="34"/>
        <v>0</v>
      </c>
      <c r="I82" s="380">
        <f t="shared" si="34"/>
        <v>0</v>
      </c>
      <c r="J82" s="380">
        <f t="shared" si="34"/>
        <v>0</v>
      </c>
      <c r="K82" s="380">
        <f t="shared" si="34"/>
        <v>0</v>
      </c>
      <c r="L82" s="380">
        <f t="shared" si="34"/>
        <v>0</v>
      </c>
      <c r="M82" s="380">
        <f t="shared" si="34"/>
        <v>0</v>
      </c>
      <c r="N82" s="380">
        <f t="shared" si="34"/>
        <v>0</v>
      </c>
      <c r="O82" s="381">
        <f>SUM(C82:N82)</f>
        <v>0</v>
      </c>
      <c r="P82" s="261"/>
    </row>
    <row r="83" spans="2:18" x14ac:dyDescent="0.25">
      <c r="B83" s="378" t="str">
        <f>Vertaling!$A$367</f>
        <v>Aflossing per maand</v>
      </c>
      <c r="C83" s="380">
        <f>IF(C80&lt;0.001,0,IF(C78&lt;$C$11,0,IF(OR($C$10=dropdowns!$B$121,$C$10=dropdowns!$C$121,$C$10=dropdowns!$D$121,$C$10=dropdowns!$E$121),$C$9,IF(OR($C$10=dropdowns!$B$120,$C$10=dropdowns!$C$120,$C$10=dropdowns!$D$120,$C$10=dropdowns!$E$120),IFERROR((C82/(1-(1+$C$7/12)^-($C$4-N70)))-C82,0),0))))</f>
        <v>0</v>
      </c>
      <c r="D83" s="380">
        <f>IF(D80&lt;0.001,0,IF(D78&lt;$C$11,0,IF(OR($C$10=dropdowns!$B$121,$C$10=dropdowns!$C$121,$C$10=dropdowns!$D$121,$C$10=dropdowns!$E$121),$C$9,IF(OR($C$10=dropdowns!$B$120,$C$10=dropdowns!$C$120,$C$10=dropdowns!$D$120,$C$10=dropdowns!$E$120),IFERROR((D82/(1-(1+$C$7/12)^-($C$4-C78)))-D82,0),0))))</f>
        <v>0</v>
      </c>
      <c r="E83" s="380">
        <f>IF(E80&lt;0.001,0,IF(E78&lt;$C$11,0,IF(OR($C$10=dropdowns!$B$121,$C$10=dropdowns!$C$121,$C$10=dropdowns!$D$121,$C$10=dropdowns!$E$121),$C$9,IF(OR($C$10=dropdowns!$B$120,$C$10=dropdowns!$C$120,$C$10=dropdowns!$D$120,$C$10=dropdowns!$E$120),IFERROR((E82/(1-(1+$C$7/12)^-($C$4-D78)))-E82,0),0))))</f>
        <v>0</v>
      </c>
      <c r="F83" s="380">
        <f>IF(F80&lt;0.001,0,IF(F78&lt;$C$11,0,IF(OR($C$10=dropdowns!$B$121,$C$10=dropdowns!$C$121,$C$10=dropdowns!$D$121,$C$10=dropdowns!$E$121),$C$9,IF(OR($C$10=dropdowns!$B$120,$C$10=dropdowns!$C$120,$C$10=dropdowns!$D$120,$C$10=dropdowns!$E$120),IFERROR((F82/(1-(1+$C$7/12)^-($C$4-E78)))-F82,0),0))))</f>
        <v>0</v>
      </c>
      <c r="G83" s="380">
        <f>IF(G80&lt;0.001,0,IF(G78&lt;$C$11,0,IF(OR($C$10=dropdowns!$B$121,$C$10=dropdowns!$C$121,$C$10=dropdowns!$D$121,$C$10=dropdowns!$E$121),$C$9,IF(OR($C$10=dropdowns!$B$120,$C$10=dropdowns!$C$120,$C$10=dropdowns!$D$120,$C$10=dropdowns!$E$120),IFERROR((G82/(1-(1+$C$7/12)^-($C$4-F78)))-G82,0),0))))</f>
        <v>0</v>
      </c>
      <c r="H83" s="380">
        <f>IF(H80&lt;0.001,0,IF(H78&lt;$C$11,0,IF(OR($C$10=dropdowns!$B$121,$C$10=dropdowns!$C$121,$C$10=dropdowns!$D$121,$C$10=dropdowns!$E$121),$C$9,IF(OR($C$10=dropdowns!$B$120,$C$10=dropdowns!$C$120,$C$10=dropdowns!$D$120,$C$10=dropdowns!$E$120),IFERROR((H82/(1-(1+$C$7/12)^-($C$4-G78)))-H82,0),0))))</f>
        <v>0</v>
      </c>
      <c r="I83" s="380">
        <f>IF(I80&lt;0.001,0,IF(I78&lt;$C$11,0,IF(OR($C$10=dropdowns!$B$121,$C$10=dropdowns!$C$121,$C$10=dropdowns!$D$121,$C$10=dropdowns!$E$121),$C$9,IF(OR($C$10=dropdowns!$B$120,$C$10=dropdowns!$C$120,$C$10=dropdowns!$D$120,$C$10=dropdowns!$E$120),IFERROR((I82/(1-(1+$C$7/12)^-($C$4-H78)))-I82,0),0))))</f>
        <v>0</v>
      </c>
      <c r="J83" s="380">
        <f>IF(J80&lt;0.001,0,IF(J78&lt;$C$11,0,IF(OR($C$10=dropdowns!$B$121,$C$10=dropdowns!$C$121,$C$10=dropdowns!$D$121,$C$10=dropdowns!$E$121),$C$9,IF(OR($C$10=dropdowns!$B$120,$C$10=dropdowns!$C$120,$C$10=dropdowns!$D$120,$C$10=dropdowns!$E$120),IFERROR((J82/(1-(1+$C$7/12)^-($C$4-I78)))-J82,0),0))))</f>
        <v>0</v>
      </c>
      <c r="K83" s="380">
        <f>IF(K80&lt;0.001,0,IF(K78&lt;$C$11,0,IF(OR($C$10=dropdowns!$B$121,$C$10=dropdowns!$C$121,$C$10=dropdowns!$D$121,$C$10=dropdowns!$E$121),$C$9,IF(OR($C$10=dropdowns!$B$120,$C$10=dropdowns!$C$120,$C$10=dropdowns!$D$120,$C$10=dropdowns!$E$120),IFERROR((K82/(1-(1+$C$7/12)^-($C$4-J78)))-K82,0),0))))</f>
        <v>0</v>
      </c>
      <c r="L83" s="380">
        <f>IF(L80&lt;0.001,0,IF(L78&lt;$C$11,0,IF(OR($C$10=dropdowns!$B$121,$C$10=dropdowns!$C$121,$C$10=dropdowns!$D$121,$C$10=dropdowns!$E$121),$C$9,IF(OR($C$10=dropdowns!$B$120,$C$10=dropdowns!$C$120,$C$10=dropdowns!$D$120,$C$10=dropdowns!$E$120),IFERROR((L82/(1-(1+$C$7/12)^-($C$4-K78)))-L82,0),0))))</f>
        <v>0</v>
      </c>
      <c r="M83" s="380">
        <f>IF(M80&lt;0.001,0,IF(M78&lt;$C$11,0,IF(OR($C$10=dropdowns!$B$121,$C$10=dropdowns!$C$121,$C$10=dropdowns!$D$121,$C$10=dropdowns!$E$121),$C$9,IF(OR($C$10=dropdowns!$B$120,$C$10=dropdowns!$C$120,$C$10=dropdowns!$D$120,$C$10=dropdowns!$E$120),IFERROR((M82/(1-(1+$C$7/12)^-($C$4-L78)))-M82,0),0))))</f>
        <v>0</v>
      </c>
      <c r="N83" s="380">
        <f>IF(N80&lt;0.001,0,IF(N78&lt;$C$11,0,IF(OR($C$10=dropdowns!$B$121,$C$10=dropdowns!$C$121,$C$10=dropdowns!$D$121,$C$10=dropdowns!$E$121),$C$9,IF(OR($C$10=dropdowns!$B$120,$C$10=dropdowns!$C$120,$C$10=dropdowns!$D$120,$C$10=dropdowns!$E$120),IFERROR((N82/(1-(1+$C$7/12)^-($C$4-M78)))-N82,0),0))))</f>
        <v>0</v>
      </c>
      <c r="O83" s="381">
        <f>SUM(C83:N83)</f>
        <v>0</v>
      </c>
      <c r="P83" s="261"/>
    </row>
    <row r="84" spans="2:18" x14ac:dyDescent="0.25">
      <c r="B84" s="385" t="str">
        <f>Vertaling!$A$369</f>
        <v>Te betalen per maand</v>
      </c>
      <c r="C84" s="386">
        <f t="shared" ref="C84:N84" si="35">SUM(C82:C83)</f>
        <v>0</v>
      </c>
      <c r="D84" s="386">
        <f t="shared" si="35"/>
        <v>0</v>
      </c>
      <c r="E84" s="386">
        <f t="shared" si="35"/>
        <v>0</v>
      </c>
      <c r="F84" s="386">
        <f t="shared" si="35"/>
        <v>0</v>
      </c>
      <c r="G84" s="386">
        <f t="shared" si="35"/>
        <v>0</v>
      </c>
      <c r="H84" s="386">
        <f t="shared" si="35"/>
        <v>0</v>
      </c>
      <c r="I84" s="386">
        <f t="shared" si="35"/>
        <v>0</v>
      </c>
      <c r="J84" s="386">
        <f t="shared" si="35"/>
        <v>0</v>
      </c>
      <c r="K84" s="386">
        <f t="shared" si="35"/>
        <v>0</v>
      </c>
      <c r="L84" s="386">
        <f t="shared" si="35"/>
        <v>0</v>
      </c>
      <c r="M84" s="386">
        <f t="shared" si="35"/>
        <v>0</v>
      </c>
      <c r="N84" s="386">
        <f t="shared" si="35"/>
        <v>0</v>
      </c>
      <c r="O84" s="387">
        <f>SUM(C84:N84)</f>
        <v>0</v>
      </c>
      <c r="P84" s="261"/>
    </row>
    <row r="85" spans="2:18" x14ac:dyDescent="0.25">
      <c r="B85" s="359"/>
      <c r="C85" s="359"/>
      <c r="D85" s="359"/>
      <c r="E85" s="359"/>
      <c r="F85" s="359"/>
      <c r="G85" s="359"/>
      <c r="H85" s="359"/>
      <c r="I85" s="359"/>
      <c r="J85" s="359"/>
      <c r="K85" s="359"/>
      <c r="L85" s="359"/>
      <c r="M85" s="359"/>
      <c r="N85" s="359"/>
      <c r="O85" s="359"/>
      <c r="P85" s="261"/>
    </row>
    <row r="86" spans="2:18" x14ac:dyDescent="0.25">
      <c r="B86" s="374" t="str">
        <f>Vertaling!$A$364&amp;N86/12</f>
        <v>Jaar 10</v>
      </c>
      <c r="C86" s="375">
        <f>N78+1</f>
        <v>109</v>
      </c>
      <c r="D86" s="375">
        <f t="shared" ref="D86:N86" si="36">C86+1</f>
        <v>110</v>
      </c>
      <c r="E86" s="375">
        <f t="shared" si="36"/>
        <v>111</v>
      </c>
      <c r="F86" s="375">
        <f t="shared" si="36"/>
        <v>112</v>
      </c>
      <c r="G86" s="375">
        <f t="shared" si="36"/>
        <v>113</v>
      </c>
      <c r="H86" s="375">
        <f t="shared" si="36"/>
        <v>114</v>
      </c>
      <c r="I86" s="375">
        <f t="shared" si="36"/>
        <v>115</v>
      </c>
      <c r="J86" s="375">
        <f t="shared" si="36"/>
        <v>116</v>
      </c>
      <c r="K86" s="375">
        <f t="shared" si="36"/>
        <v>117</v>
      </c>
      <c r="L86" s="375">
        <f t="shared" si="36"/>
        <v>118</v>
      </c>
      <c r="M86" s="375">
        <f t="shared" si="36"/>
        <v>119</v>
      </c>
      <c r="N86" s="375">
        <f t="shared" si="36"/>
        <v>120</v>
      </c>
      <c r="O86" s="375" t="s">
        <v>54</v>
      </c>
      <c r="P86" s="261"/>
    </row>
    <row r="87" spans="2:18" x14ac:dyDescent="0.25">
      <c r="B87" s="376"/>
      <c r="C87" s="377"/>
      <c r="D87" s="377"/>
      <c r="E87" s="377"/>
      <c r="F87" s="377"/>
      <c r="G87" s="377"/>
      <c r="H87" s="377"/>
      <c r="I87" s="377"/>
      <c r="J87" s="377"/>
      <c r="K87" s="377"/>
      <c r="L87" s="377"/>
      <c r="M87" s="377"/>
      <c r="N87" s="377"/>
      <c r="O87" s="377"/>
      <c r="P87" s="261"/>
    </row>
    <row r="88" spans="2:18" x14ac:dyDescent="0.25">
      <c r="B88" s="378" t="str">
        <f>Vertaling!$A$365</f>
        <v>Bedrag lening begin maand</v>
      </c>
      <c r="C88" s="379">
        <f>N80-N83</f>
        <v>0</v>
      </c>
      <c r="D88" s="380">
        <f t="shared" ref="D88:N88" si="37">C88-C91</f>
        <v>0</v>
      </c>
      <c r="E88" s="380">
        <f t="shared" si="37"/>
        <v>0</v>
      </c>
      <c r="F88" s="380">
        <f t="shared" si="37"/>
        <v>0</v>
      </c>
      <c r="G88" s="380">
        <f t="shared" si="37"/>
        <v>0</v>
      </c>
      <c r="H88" s="380">
        <f t="shared" si="37"/>
        <v>0</v>
      </c>
      <c r="I88" s="380">
        <f t="shared" si="37"/>
        <v>0</v>
      </c>
      <c r="J88" s="380">
        <f t="shared" si="37"/>
        <v>0</v>
      </c>
      <c r="K88" s="380">
        <f t="shared" si="37"/>
        <v>0</v>
      </c>
      <c r="L88" s="380">
        <f t="shared" si="37"/>
        <v>0</v>
      </c>
      <c r="M88" s="380">
        <f t="shared" si="37"/>
        <v>0</v>
      </c>
      <c r="N88" s="380">
        <f t="shared" si="37"/>
        <v>0</v>
      </c>
      <c r="O88" s="381"/>
      <c r="P88" s="261"/>
    </row>
    <row r="89" spans="2:18" x14ac:dyDescent="0.25">
      <c r="B89" s="378"/>
      <c r="C89" s="378"/>
      <c r="D89" s="378"/>
      <c r="E89" s="378"/>
      <c r="F89" s="378"/>
      <c r="G89" s="378"/>
      <c r="H89" s="378"/>
      <c r="I89" s="378"/>
      <c r="J89" s="378"/>
      <c r="K89" s="378"/>
      <c r="L89" s="378"/>
      <c r="M89" s="378"/>
      <c r="N89" s="378"/>
      <c r="O89" s="378"/>
      <c r="P89" s="261"/>
    </row>
    <row r="90" spans="2:18" x14ac:dyDescent="0.25">
      <c r="B90" s="378" t="str">
        <f>Vertaling!$A$366</f>
        <v>Kosten rente per maand</v>
      </c>
      <c r="C90" s="380">
        <f t="shared" ref="C90:N90" si="38">IF(C88&lt;0.001,0,$C$8*C88)</f>
        <v>0</v>
      </c>
      <c r="D90" s="380">
        <f t="shared" si="38"/>
        <v>0</v>
      </c>
      <c r="E90" s="380">
        <f t="shared" si="38"/>
        <v>0</v>
      </c>
      <c r="F90" s="380">
        <f t="shared" si="38"/>
        <v>0</v>
      </c>
      <c r="G90" s="380">
        <f t="shared" si="38"/>
        <v>0</v>
      </c>
      <c r="H90" s="380">
        <f t="shared" si="38"/>
        <v>0</v>
      </c>
      <c r="I90" s="380">
        <f t="shared" si="38"/>
        <v>0</v>
      </c>
      <c r="J90" s="380">
        <f t="shared" si="38"/>
        <v>0</v>
      </c>
      <c r="K90" s="380">
        <f t="shared" si="38"/>
        <v>0</v>
      </c>
      <c r="L90" s="380">
        <f t="shared" si="38"/>
        <v>0</v>
      </c>
      <c r="M90" s="380">
        <f t="shared" si="38"/>
        <v>0</v>
      </c>
      <c r="N90" s="380">
        <f t="shared" si="38"/>
        <v>0</v>
      </c>
      <c r="O90" s="381">
        <f>SUM(C90:N90)</f>
        <v>0</v>
      </c>
      <c r="P90" s="261"/>
    </row>
    <row r="91" spans="2:18" x14ac:dyDescent="0.25">
      <c r="B91" s="378" t="str">
        <f>Vertaling!$A$367</f>
        <v>Aflossing per maand</v>
      </c>
      <c r="C91" s="380">
        <f>IF(C88&lt;0.001,0,IF(C86&lt;$C$11,0,IF(OR($C$10=dropdowns!$B$121,$C$10=dropdowns!$C$121,$C$10=dropdowns!$D$121,$C$10=dropdowns!$E$121),$C$9,IF(OR($C$10=dropdowns!$B$120,$C$10=dropdowns!$C$120,$C$10=dropdowns!$D$120,$C$10=dropdowns!$E$120),IFERROR((C90/(1-(1+$C$7/12)^-($C$4-N78)))-C90,0),0))))</f>
        <v>0</v>
      </c>
      <c r="D91" s="380">
        <f>IF(D88&lt;0.001,0,IF(D86&lt;$C$11,0,IF(OR($C$10=dropdowns!$B$121,$C$10=dropdowns!$C$121,$C$10=dropdowns!$D$121,$C$10=dropdowns!$E$121),$C$9,IF(OR($C$10=dropdowns!$B$120,$C$10=dropdowns!$C$120,$C$10=dropdowns!$D$120,$C$10=dropdowns!$E$120),IFERROR((D90/(1-(1+$C$7/12)^-($C$4-C86)))-D90,0),0))))</f>
        <v>0</v>
      </c>
      <c r="E91" s="380">
        <f>IF(E88&lt;0.001,0,IF(E86&lt;$C$11,0,IF(OR($C$10=dropdowns!$B$121,$C$10=dropdowns!$C$121,$C$10=dropdowns!$D$121,$C$10=dropdowns!$E$121),$C$9,IF(OR($C$10=dropdowns!$B$120,$C$10=dropdowns!$C$120,$C$10=dropdowns!$D$120,$C$10=dropdowns!$E$120),IFERROR((E90/(1-(1+$C$7/12)^-($C$4-D86)))-E90,0),0))))</f>
        <v>0</v>
      </c>
      <c r="F91" s="380">
        <f>IF(F88&lt;0.001,0,IF(F86&lt;$C$11,0,IF(OR($C$10=dropdowns!$B$121,$C$10=dropdowns!$C$121,$C$10=dropdowns!$D$121,$C$10=dropdowns!$E$121),$C$9,IF(OR($C$10=dropdowns!$B$120,$C$10=dropdowns!$C$120,$C$10=dropdowns!$D$120,$C$10=dropdowns!$E$120),IFERROR((F90/(1-(1+$C$7/12)^-($C$4-E86)))-F90,0),0))))</f>
        <v>0</v>
      </c>
      <c r="G91" s="380">
        <f>IF(G88&lt;0.001,0,IF(G86&lt;$C$11,0,IF(OR($C$10=dropdowns!$B$121,$C$10=dropdowns!$C$121,$C$10=dropdowns!$D$121,$C$10=dropdowns!$E$121),$C$9,IF(OR($C$10=dropdowns!$B$120,$C$10=dropdowns!$C$120,$C$10=dropdowns!$D$120,$C$10=dropdowns!$E$120),IFERROR((G90/(1-(1+$C$7/12)^-($C$4-F86)))-G90,0),0))))</f>
        <v>0</v>
      </c>
      <c r="H91" s="380">
        <f>IF(H88&lt;0.001,0,IF(H86&lt;$C$11,0,IF(OR($C$10=dropdowns!$B$121,$C$10=dropdowns!$C$121,$C$10=dropdowns!$D$121,$C$10=dropdowns!$E$121),$C$9,IF(OR($C$10=dropdowns!$B$120,$C$10=dropdowns!$C$120,$C$10=dropdowns!$D$120,$C$10=dropdowns!$E$120),IFERROR((H90/(1-(1+$C$7/12)^-($C$4-G86)))-H90,0),0))))</f>
        <v>0</v>
      </c>
      <c r="I91" s="380">
        <f>IF(I88&lt;0.001,0,IF(I86&lt;$C$11,0,IF(OR($C$10=dropdowns!$B$121,$C$10=dropdowns!$C$121,$C$10=dropdowns!$D$121,$C$10=dropdowns!$E$121),$C$9,IF(OR($C$10=dropdowns!$B$120,$C$10=dropdowns!$C$120,$C$10=dropdowns!$D$120,$C$10=dropdowns!$E$120),IFERROR((I90/(1-(1+$C$7/12)^-($C$4-H86)))-I90,0),0))))</f>
        <v>0</v>
      </c>
      <c r="J91" s="380">
        <f>IF(J88&lt;0.001,0,IF(J86&lt;$C$11,0,IF(OR($C$10=dropdowns!$B$121,$C$10=dropdowns!$C$121,$C$10=dropdowns!$D$121,$C$10=dropdowns!$E$121),$C$9,IF(OR($C$10=dropdowns!$B$120,$C$10=dropdowns!$C$120,$C$10=dropdowns!$D$120,$C$10=dropdowns!$E$120),IFERROR((J90/(1-(1+$C$7/12)^-($C$4-I86)))-J90,0),0))))</f>
        <v>0</v>
      </c>
      <c r="K91" s="380">
        <f>IF(K88&lt;0.001,0,IF(K86&lt;$C$11,0,IF(OR($C$10=dropdowns!$B$121,$C$10=dropdowns!$C$121,$C$10=dropdowns!$D$121,$C$10=dropdowns!$E$121),$C$9,IF(OR($C$10=dropdowns!$B$120,$C$10=dropdowns!$C$120,$C$10=dropdowns!$D$120,$C$10=dropdowns!$E$120),IFERROR((K90/(1-(1+$C$7/12)^-($C$4-J86)))-K90,0),0))))</f>
        <v>0</v>
      </c>
      <c r="L91" s="380">
        <f>IF(L88&lt;0.001,0,IF(L86&lt;$C$11,0,IF(OR($C$10=dropdowns!$B$121,$C$10=dropdowns!$C$121,$C$10=dropdowns!$D$121,$C$10=dropdowns!$E$121),$C$9,IF(OR($C$10=dropdowns!$B$120,$C$10=dropdowns!$C$120,$C$10=dropdowns!$D$120,$C$10=dropdowns!$E$120),IFERROR((L90/(1-(1+$C$7/12)^-($C$4-K86)))-L90,0),0))))</f>
        <v>0</v>
      </c>
      <c r="M91" s="380">
        <f>IF(M88&lt;0.001,0,IF(M86&lt;$C$11,0,IF(OR($C$10=dropdowns!$B$121,$C$10=dropdowns!$C$121,$C$10=dropdowns!$D$121,$C$10=dropdowns!$E$121),$C$9,IF(OR($C$10=dropdowns!$B$120,$C$10=dropdowns!$C$120,$C$10=dropdowns!$D$120,$C$10=dropdowns!$E$120),IFERROR((M90/(1-(1+$C$7/12)^-($C$4-L86)))-M90,0),0))))</f>
        <v>0</v>
      </c>
      <c r="N91" s="380">
        <f>IF(N88&lt;0.001,0,IF(N86&lt;$C$11,0,IF(OR($C$10=dropdowns!$B$121,$C$10=dropdowns!$C$121,$C$10=dropdowns!$D$121,$C$10=dropdowns!$E$121),$C$9,IF(OR($C$10=dropdowns!$B$120,$C$10=dropdowns!$C$120,$C$10=dropdowns!$D$120,$C$10=dropdowns!$E$120),IFERROR((N90/(1-(1+$C$7/12)^-($C$4-M86)))-N90,0),0))))</f>
        <v>0</v>
      </c>
      <c r="O91" s="381">
        <f>SUM(C91:N91)</f>
        <v>0</v>
      </c>
      <c r="P91" s="261"/>
    </row>
    <row r="92" spans="2:18" x14ac:dyDescent="0.25">
      <c r="B92" s="385" t="str">
        <f>Vertaling!$A$369</f>
        <v>Te betalen per maand</v>
      </c>
      <c r="C92" s="386">
        <f t="shared" ref="C92:N92" si="39">SUM(C90:C91)</f>
        <v>0</v>
      </c>
      <c r="D92" s="386">
        <f t="shared" si="39"/>
        <v>0</v>
      </c>
      <c r="E92" s="386">
        <f t="shared" si="39"/>
        <v>0</v>
      </c>
      <c r="F92" s="386">
        <f t="shared" si="39"/>
        <v>0</v>
      </c>
      <c r="G92" s="386">
        <f t="shared" si="39"/>
        <v>0</v>
      </c>
      <c r="H92" s="386">
        <f t="shared" si="39"/>
        <v>0</v>
      </c>
      <c r="I92" s="386">
        <f t="shared" si="39"/>
        <v>0</v>
      </c>
      <c r="J92" s="386">
        <f t="shared" si="39"/>
        <v>0</v>
      </c>
      <c r="K92" s="386">
        <f t="shared" si="39"/>
        <v>0</v>
      </c>
      <c r="L92" s="386">
        <f t="shared" si="39"/>
        <v>0</v>
      </c>
      <c r="M92" s="386">
        <f t="shared" si="39"/>
        <v>0</v>
      </c>
      <c r="N92" s="386">
        <f t="shared" si="39"/>
        <v>0</v>
      </c>
      <c r="O92" s="387">
        <f>SUM(C92:N92)</f>
        <v>0</v>
      </c>
      <c r="P92" s="261"/>
    </row>
    <row r="93" spans="2:18" x14ac:dyDescent="0.25">
      <c r="B93" s="359"/>
      <c r="C93" s="359"/>
      <c r="D93" s="359"/>
      <c r="E93" s="359"/>
      <c r="F93" s="359"/>
      <c r="G93" s="359"/>
      <c r="H93" s="359"/>
      <c r="I93" s="359"/>
      <c r="J93" s="359"/>
      <c r="K93" s="359"/>
      <c r="L93" s="359"/>
      <c r="M93" s="359"/>
      <c r="N93" s="359"/>
      <c r="O93" s="359"/>
      <c r="P93" s="261"/>
      <c r="Q93" s="359"/>
      <c r="R93" s="359"/>
    </row>
    <row r="94" spans="2:18" x14ac:dyDescent="0.25">
      <c r="P94" s="261"/>
    </row>
  </sheetData>
  <sheetProtection algorithmName="SHA-512" hashValue="9WX2sp18BNutSvo7f55RfT9dCWaK3hxClhUNLE3nNh7uoqdMCAqKAk/0OOpH6UGZTBFBjTm15QhDtSpVjc2VzQ==" saltValue="lZ1gG1xoA/xy6/I/mimyFw==" spinCount="100000" sheet="1" formatColumns="0"/>
  <pageMargins left="0.70833333333333337" right="0.70833333333333337" top="0.74791666666666667" bottom="0.74791666666666667" header="0.51180555555555551" footer="0.51180555555555551"/>
  <pageSetup paperSize="9" scale="66" firstPageNumber="0" fitToHeight="0" orientation="landscape" horizontalDpi="300" verticalDpi="300" r:id="rId1"/>
  <headerFooter alignWithMargins="0"/>
  <rowBreaks count="1" manualBreakCount="1">
    <brk id="44" max="15"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7">
    <tabColor rgb="FF666666"/>
  </sheetPr>
  <dimension ref="A1:AI87"/>
  <sheetViews>
    <sheetView zoomScale="80" zoomScaleNormal="80" workbookViewId="0"/>
  </sheetViews>
  <sheetFormatPr defaultRowHeight="15" x14ac:dyDescent="0.25"/>
  <cols>
    <col min="1" max="1" width="114.5703125" style="63" customWidth="1"/>
    <col min="2" max="35" width="9.140625" style="63"/>
    <col min="36" max="16384" width="9.140625" style="64"/>
  </cols>
  <sheetData>
    <row r="1" spans="1:26" x14ac:dyDescent="0.25">
      <c r="A1" s="208" t="str">
        <f>Vertaling!A262</f>
        <v>Klik hier om VRAGENLIJST in te vullen</v>
      </c>
      <c r="B1" s="65"/>
      <c r="C1" s="65"/>
      <c r="D1" s="65"/>
      <c r="E1" s="65"/>
      <c r="F1" s="65"/>
      <c r="G1" s="65"/>
      <c r="H1" s="65"/>
      <c r="I1" s="65"/>
      <c r="J1" s="65"/>
      <c r="K1" s="65"/>
      <c r="L1" s="65"/>
      <c r="M1" s="65"/>
      <c r="N1" s="65"/>
      <c r="O1" s="65"/>
      <c r="P1" s="65"/>
      <c r="Q1" s="65"/>
      <c r="R1" s="65"/>
      <c r="S1" s="65"/>
      <c r="T1" s="65"/>
      <c r="U1" s="65"/>
      <c r="V1" s="65"/>
      <c r="W1" s="65"/>
      <c r="X1" s="65"/>
      <c r="Y1" s="65"/>
      <c r="Z1" s="65"/>
    </row>
    <row r="2" spans="1:26" x14ac:dyDescent="0.25">
      <c r="A2" s="208"/>
      <c r="B2" s="65"/>
      <c r="C2" s="65"/>
      <c r="D2" s="65"/>
      <c r="E2" s="65"/>
      <c r="F2" s="65"/>
      <c r="G2" s="65"/>
      <c r="H2" s="65"/>
      <c r="I2" s="65"/>
      <c r="J2" s="65"/>
      <c r="K2" s="65"/>
      <c r="L2" s="65"/>
      <c r="M2" s="65"/>
      <c r="N2" s="65"/>
      <c r="O2" s="65"/>
      <c r="P2" s="65"/>
      <c r="Q2" s="65"/>
      <c r="R2" s="65"/>
      <c r="S2" s="65"/>
      <c r="T2" s="65"/>
      <c r="U2" s="65"/>
      <c r="V2" s="65"/>
      <c r="W2" s="65"/>
      <c r="X2" s="65"/>
      <c r="Y2" s="65"/>
      <c r="Z2" s="65"/>
    </row>
    <row r="3" spans="1:26" x14ac:dyDescent="0.25">
      <c r="A3" s="389" t="str">
        <f>Vertaling!A172</f>
        <v>Zelfstandigenaftrek</v>
      </c>
      <c r="B3" s="65"/>
      <c r="C3" s="65"/>
      <c r="D3" s="65"/>
      <c r="E3" s="65"/>
      <c r="F3" s="65"/>
      <c r="G3" s="65"/>
      <c r="H3" s="65"/>
      <c r="I3" s="65"/>
      <c r="J3" s="65"/>
      <c r="K3" s="65"/>
      <c r="L3" s="65"/>
      <c r="M3" s="65"/>
      <c r="N3" s="65"/>
      <c r="O3" s="65"/>
      <c r="P3" s="65"/>
      <c r="Q3" s="65"/>
      <c r="R3" s="65"/>
      <c r="S3" s="65"/>
      <c r="T3" s="65"/>
      <c r="U3" s="65"/>
      <c r="V3" s="65"/>
      <c r="W3" s="65"/>
      <c r="X3" s="65"/>
      <c r="Y3" s="65"/>
      <c r="Z3" s="65"/>
    </row>
    <row r="4" spans="1:26" ht="95.25" customHeight="1" x14ac:dyDescent="0.25">
      <c r="A4" s="390" t="str">
        <f>Vertaling!A381</f>
        <v>Als zelfstandig ondernemer kan je in aanmerking komen voor de zelfstandigenaftrek. Je mag dan een vast bedrag van je winst aftrekken. Daardoor betaal je minder belasting. 
Je hebt recht op de zelfstandigenaftrek als je:
      - Ondernemer bent
      - Voldoet aan het urencriterium
      - Aan het begin van het kalenderjaar de AOW-leeftijd nog niet hebt bereikt</v>
      </c>
      <c r="B4" s="65"/>
      <c r="C4" s="65"/>
      <c r="D4" s="65"/>
      <c r="E4" s="65"/>
      <c r="F4" s="65"/>
      <c r="G4" s="65"/>
      <c r="H4" s="65"/>
      <c r="I4" s="65"/>
      <c r="J4" s="65"/>
      <c r="K4" s="65"/>
      <c r="L4" s="65"/>
      <c r="M4" s="65"/>
      <c r="N4" s="65"/>
      <c r="O4" s="65"/>
      <c r="P4" s="65"/>
      <c r="Q4" s="65"/>
      <c r="R4" s="65"/>
      <c r="S4" s="65"/>
      <c r="T4" s="65"/>
      <c r="U4" s="65"/>
      <c r="V4" s="65"/>
      <c r="W4" s="65"/>
      <c r="X4" s="65"/>
      <c r="Y4" s="65"/>
      <c r="Z4" s="65"/>
    </row>
    <row r="5" spans="1:26" x14ac:dyDescent="0.25">
      <c r="A5" s="391"/>
      <c r="B5" s="65"/>
      <c r="C5" s="65"/>
      <c r="D5" s="65"/>
      <c r="E5" s="65"/>
      <c r="F5" s="65"/>
      <c r="G5" s="65"/>
      <c r="H5" s="65"/>
      <c r="I5" s="65"/>
      <c r="J5" s="65"/>
      <c r="K5" s="65"/>
      <c r="L5" s="65"/>
      <c r="M5" s="65"/>
      <c r="N5" s="65"/>
      <c r="O5" s="65"/>
      <c r="P5" s="65"/>
      <c r="Q5" s="65"/>
      <c r="R5" s="65"/>
      <c r="S5" s="65"/>
      <c r="T5" s="65"/>
      <c r="U5" s="65"/>
      <c r="V5" s="65"/>
      <c r="W5" s="65"/>
      <c r="X5" s="65"/>
      <c r="Y5" s="65"/>
      <c r="Z5" s="65"/>
    </row>
    <row r="6" spans="1:26" x14ac:dyDescent="0.25">
      <c r="A6" s="392" t="str">
        <f>Vertaling!A173</f>
        <v>Startersaftrek</v>
      </c>
      <c r="B6" s="65"/>
      <c r="C6" s="65"/>
      <c r="D6" s="65"/>
      <c r="E6" s="65"/>
      <c r="F6" s="65"/>
      <c r="G6" s="65"/>
      <c r="H6" s="65"/>
      <c r="I6" s="65"/>
      <c r="J6" s="65"/>
      <c r="K6" s="65"/>
      <c r="L6" s="65"/>
      <c r="M6" s="65"/>
      <c r="N6" s="65"/>
      <c r="O6" s="65"/>
      <c r="P6" s="65"/>
      <c r="Q6" s="65"/>
      <c r="R6" s="65"/>
      <c r="S6" s="65"/>
      <c r="T6" s="65"/>
      <c r="U6" s="65"/>
      <c r="V6" s="65"/>
      <c r="W6" s="65"/>
      <c r="X6" s="65"/>
      <c r="Y6" s="65"/>
      <c r="Z6" s="65"/>
    </row>
    <row r="7" spans="1:26" ht="93.75" customHeight="1" x14ac:dyDescent="0.25">
      <c r="A7" s="393" t="str">
        <f>Vertaling!A382</f>
        <v>Als startende ondernemer kan je in aanmerking komen voor de startersaftrek. Je mag dan, net als bij de zelfstandigenaftrek, een vast bedrag van je winst aftrekken. 
Je hebt recht op de startersaftrek als je:
      - Recht hebt op de zelfstandigenaftrek
      - In de afgelopen 5 jaar niet elk jaar ondernemer was
      - In de afgelopen 5 jaar de zelfstandigenaftrek maximaal twee keer hebt gebruikt</v>
      </c>
      <c r="B7" s="65"/>
      <c r="C7" s="65"/>
      <c r="D7" s="65"/>
      <c r="E7" s="65"/>
      <c r="F7" s="65"/>
      <c r="G7" s="65"/>
      <c r="H7" s="65"/>
      <c r="I7" s="65"/>
      <c r="J7" s="65"/>
      <c r="K7" s="65"/>
      <c r="L7" s="65"/>
      <c r="M7" s="65"/>
      <c r="N7" s="65"/>
      <c r="O7" s="65"/>
      <c r="P7" s="65"/>
      <c r="Q7" s="65"/>
      <c r="R7" s="65"/>
      <c r="S7" s="65"/>
      <c r="T7" s="65"/>
      <c r="U7" s="65"/>
      <c r="V7" s="65"/>
      <c r="W7" s="65"/>
      <c r="X7" s="65"/>
      <c r="Y7" s="65"/>
      <c r="Z7" s="65"/>
    </row>
    <row r="8" spans="1:26" x14ac:dyDescent="0.25">
      <c r="A8" s="391"/>
      <c r="B8" s="65"/>
      <c r="C8" s="65"/>
      <c r="D8" s="65"/>
      <c r="E8" s="65"/>
      <c r="F8" s="65"/>
      <c r="G8" s="65"/>
      <c r="H8" s="65"/>
      <c r="I8" s="65"/>
      <c r="J8" s="65"/>
      <c r="K8" s="65"/>
      <c r="L8" s="65"/>
      <c r="M8" s="65"/>
      <c r="N8" s="65"/>
      <c r="O8" s="65"/>
      <c r="P8" s="65"/>
      <c r="Q8" s="65"/>
      <c r="R8" s="65"/>
      <c r="S8" s="65"/>
      <c r="T8" s="65"/>
      <c r="U8" s="65"/>
      <c r="V8" s="65"/>
      <c r="W8" s="65"/>
      <c r="X8" s="65"/>
      <c r="Y8" s="65"/>
      <c r="Z8" s="65"/>
    </row>
    <row r="9" spans="1:26" x14ac:dyDescent="0.25">
      <c r="A9" s="392" t="str">
        <f>Vertaling!A174</f>
        <v>Meewerkaftrek</v>
      </c>
      <c r="B9" s="65"/>
      <c r="C9" s="65"/>
      <c r="D9" s="65"/>
      <c r="E9" s="65"/>
      <c r="F9" s="65"/>
      <c r="G9" s="65"/>
      <c r="H9" s="65"/>
      <c r="I9" s="65"/>
      <c r="J9" s="65"/>
      <c r="K9" s="65"/>
      <c r="L9" s="65"/>
      <c r="M9" s="65"/>
      <c r="N9" s="65"/>
      <c r="O9" s="65"/>
      <c r="P9" s="65"/>
      <c r="Q9" s="65"/>
      <c r="R9" s="65"/>
      <c r="S9" s="65"/>
      <c r="T9" s="65"/>
      <c r="U9" s="65"/>
      <c r="V9" s="65"/>
      <c r="W9" s="65"/>
      <c r="X9" s="65"/>
      <c r="Y9" s="65"/>
      <c r="Z9" s="65"/>
    </row>
    <row r="10" spans="1:26" ht="120" customHeight="1" x14ac:dyDescent="0.25">
      <c r="A10" s="393" t="str">
        <f>Vertaling!A383</f>
        <v>Werkt jouw partner (grotendeels) onbetaald mee in de onderneming, dan kan je profiteren van de meewerkaftrek. De meewerkaftrek is afhankelijk van de behaalde winst en het aantal meegewerkte uren. Houd dus een urenadministratie bij!
Je hebt recht op de meewerkaftrek als je:
      - Ondernemer bent
      - Voldoet aan het urencriterium
      - Een fiscale partner hebt die 525 uren of meer zonder vergoeding in uw onderneming werkt, of tegen een 
        vergoeding van minder dan € 5.000
      - Het aantal meegewerkte uren aannemelijk kan maken</v>
      </c>
      <c r="B10" s="65"/>
      <c r="C10" s="65"/>
      <c r="D10" s="65"/>
      <c r="E10" s="65"/>
      <c r="F10" s="65"/>
      <c r="G10" s="65"/>
      <c r="H10" s="65"/>
      <c r="I10" s="65"/>
      <c r="J10" s="65"/>
      <c r="K10" s="65"/>
      <c r="L10" s="65"/>
      <c r="M10" s="65"/>
      <c r="N10" s="65"/>
      <c r="O10" s="65"/>
      <c r="P10" s="65"/>
      <c r="Q10" s="65"/>
      <c r="R10" s="65"/>
      <c r="S10" s="65"/>
      <c r="T10" s="65"/>
      <c r="U10" s="65"/>
      <c r="V10" s="65"/>
      <c r="W10" s="65"/>
      <c r="X10" s="65"/>
      <c r="Y10" s="65"/>
      <c r="Z10" s="65"/>
    </row>
    <row r="11" spans="1:26" x14ac:dyDescent="0.25">
      <c r="A11" s="394"/>
      <c r="B11" s="65"/>
      <c r="C11" s="65"/>
      <c r="D11" s="65"/>
      <c r="E11" s="65"/>
      <c r="F11" s="65"/>
      <c r="G11" s="65"/>
      <c r="H11" s="65"/>
      <c r="I11" s="65"/>
      <c r="J11" s="65"/>
      <c r="K11" s="65"/>
      <c r="L11" s="65"/>
      <c r="M11" s="65"/>
      <c r="N11" s="65"/>
      <c r="O11" s="65"/>
      <c r="P11" s="65"/>
      <c r="Q11" s="65"/>
      <c r="R11" s="65"/>
      <c r="S11" s="65"/>
      <c r="T11" s="65"/>
      <c r="U11" s="65"/>
      <c r="V11" s="65"/>
      <c r="W11" s="65"/>
      <c r="X11" s="65"/>
      <c r="Y11" s="65"/>
      <c r="Z11" s="65"/>
    </row>
    <row r="12" spans="1:26" x14ac:dyDescent="0.25">
      <c r="A12" s="392" t="str">
        <f>Vertaling!A379</f>
        <v>Ondernemer</v>
      </c>
      <c r="B12" s="65"/>
      <c r="C12" s="65"/>
      <c r="D12" s="65"/>
      <c r="E12" s="65"/>
      <c r="F12" s="65"/>
      <c r="G12" s="65"/>
      <c r="H12" s="65"/>
      <c r="I12" s="65"/>
      <c r="J12" s="65"/>
      <c r="K12" s="65"/>
      <c r="L12" s="65"/>
      <c r="M12" s="65"/>
      <c r="N12" s="65"/>
      <c r="O12" s="65"/>
      <c r="P12" s="65"/>
      <c r="Q12" s="65"/>
      <c r="R12" s="65"/>
      <c r="S12" s="65"/>
      <c r="T12" s="65"/>
      <c r="U12" s="65"/>
      <c r="V12" s="65"/>
      <c r="W12" s="65"/>
      <c r="X12" s="65"/>
      <c r="Y12" s="65"/>
      <c r="Z12" s="65"/>
    </row>
    <row r="13" spans="1:26" ht="330" customHeight="1" x14ac:dyDescent="0.25">
      <c r="A13" s="390" t="str">
        <f>Vertaling!A384</f>
        <v>Niet iedere ondernemer, is ondernemer voor de belasting. Om in aamerking te komen voor de status van ondernemer voor de belasting moet je voldoen aan een aantal voorwaarden.
De Belastindienst hanteert daarbij de volgende uitgangspunten:
      - Winst: Als je alleen een hele kleine winst hebt of structureel verlies lijdt, is het niet aannemelijk dat je winst
         gaat maken. Er is dan geen sprake van een onderneming.
      - Zelfstandigheid: Als anderen bepalen hoe je jouw onderneming moet inrichten en hoe je jouw werkzaamheden
         uitvoert, ontbreekt de zelfstandigheid en is er meestal geen sprake van een onderneming.
      - Kapitaal: Kapitaal is voor veel ondernemingen noodzakelijk. Je moet investeren in bijvoorbeeld machines, 
         reclame, inhuur van mensen en verzekeringen. Voldoende kapitaal om een onderneming te starten en enige 
         tijd draaiende te houden, wijst erop dat je mogelijk een onderneming hebt.
      - Tijd: Als je erg veel tijd aan een activiteit besteedt zonder dat dat rendement oplevert, is er meestal geen sprake 
         van een onderneming. Maar je moet wel voldoende tijd aan jouw werkzaamheden besteden om deze rendabel te 
         maken.
      - Opdrachtgevers: Het is jouw doel om meerdere opdrachtgevers te hebben, onder andere om betalings- en 
         continuïteitsrisico's te verkleinen. Als je meerdere opdrachtgevers hebt, ben je minder afhankelijk van een of 
         enkele opdrachtgevers en neemt jouw zelfstandigheid toe.
      - Uitstraling: Je bent voor jouw bestaan afhankelijk van opdrachtgevers. Om ondernemer te zijn, moet je zorgen dat 
        jouw onderneming voldoende bekend is, bijvoorbeeld via reclame, een internetsite, social media, een 
        uithangbord of eigen briefpapier.
      - Ondernemersrisico: Bestaat er een kans dat jouw opdrachtgevers niet betalen? Gebruik je jouw goede naam voor 
        de uitoefening van jouw werkzaamheden? Ben je afhankelijk van de vraag naar en het aanbod van jouw producten 
        en diensten? Loop je 'ondernemersrisico', dan heb je waarschijnlijk een onderneming.
      - Aansprakelijkheid: Als je aansprakelijk bent voor de schulden van jouw onderneming, dan ben je mogelijk 
        ondernemer.</v>
      </c>
      <c r="B13" s="65"/>
      <c r="C13" s="65"/>
      <c r="D13" s="65"/>
      <c r="E13" s="65"/>
      <c r="F13" s="65"/>
      <c r="G13" s="65"/>
      <c r="H13" s="65"/>
      <c r="I13" s="65"/>
      <c r="J13" s="65"/>
      <c r="K13" s="65"/>
      <c r="L13" s="65"/>
      <c r="M13" s="65"/>
      <c r="N13" s="65"/>
      <c r="O13" s="65"/>
      <c r="P13" s="65"/>
      <c r="Q13" s="65"/>
      <c r="R13" s="65"/>
      <c r="S13" s="65"/>
      <c r="T13" s="65"/>
      <c r="U13" s="65"/>
      <c r="V13" s="65"/>
      <c r="W13" s="65"/>
      <c r="X13" s="65"/>
      <c r="Y13" s="65"/>
      <c r="Z13" s="65"/>
    </row>
    <row r="14" spans="1:26" x14ac:dyDescent="0.25">
      <c r="A14" s="392"/>
      <c r="B14" s="65"/>
      <c r="C14" s="65"/>
      <c r="D14" s="65"/>
      <c r="E14" s="65"/>
      <c r="F14" s="65"/>
      <c r="G14" s="65"/>
      <c r="H14" s="65"/>
      <c r="I14" s="65"/>
      <c r="J14" s="65"/>
      <c r="K14" s="65"/>
      <c r="L14" s="65"/>
      <c r="M14" s="65"/>
      <c r="N14" s="65"/>
      <c r="O14" s="65"/>
      <c r="P14" s="65"/>
      <c r="Q14" s="65"/>
      <c r="R14" s="65"/>
      <c r="S14" s="65"/>
      <c r="T14" s="65"/>
      <c r="U14" s="65"/>
      <c r="V14" s="65"/>
      <c r="W14" s="65"/>
      <c r="X14" s="65"/>
      <c r="Y14" s="65"/>
      <c r="Z14" s="65"/>
    </row>
    <row r="15" spans="1:26" x14ac:dyDescent="0.25">
      <c r="A15" s="392" t="str">
        <f>Vertaling!A380</f>
        <v>Urencriterium</v>
      </c>
      <c r="B15" s="65"/>
      <c r="C15" s="65"/>
      <c r="D15" s="65"/>
      <c r="E15" s="65"/>
      <c r="F15" s="65"/>
      <c r="G15" s="65"/>
      <c r="H15" s="65"/>
      <c r="I15" s="65"/>
      <c r="J15" s="65"/>
      <c r="K15" s="65"/>
      <c r="L15" s="65"/>
      <c r="M15" s="65"/>
      <c r="N15" s="65"/>
      <c r="O15" s="65"/>
      <c r="P15" s="65"/>
      <c r="Q15" s="65"/>
      <c r="R15" s="65"/>
      <c r="S15" s="65"/>
      <c r="T15" s="65"/>
      <c r="U15" s="65"/>
      <c r="V15" s="65"/>
      <c r="W15" s="65"/>
      <c r="X15" s="65"/>
      <c r="Y15" s="65"/>
      <c r="Z15" s="65"/>
    </row>
    <row r="16" spans="1:26" ht="114.75" x14ac:dyDescent="0.25">
      <c r="A16" s="395" t="str">
        <f>Vertaling!A385</f>
        <v>Je voldoet aan het urencriterium als je:
      - In het kalenderjaar minimaal 1.225 uren aan jouw onderneming(en) hebt besteed. Onderbrak je jouw werk als 
        ondernemer door jouw zwangerschap? Dan tellen de niet-gewerkte uren over totaal 16 weken toch mee als 
        gewerkte uren.
      - Meer tijd moet besteden aan jouw ondernemingen dan aan andere werkzaamheden (bijvoorbeeld in loondienst).
Als je niet het hele jaar ondernemer bent, doordat je bijvoorbeeld in de loop van het jaar bent gestart, moet je toch minimaal 1.225 uren aan jouw onderneming(en) besteden. De 1.225 uren mogen dan niet omgerekend worden naar de periode dat je ondernemer bent.</v>
      </c>
      <c r="B16" s="65"/>
      <c r="C16" s="65"/>
      <c r="D16" s="65"/>
      <c r="E16" s="65"/>
      <c r="F16" s="65"/>
      <c r="G16" s="65"/>
      <c r="H16" s="65"/>
      <c r="I16" s="65"/>
      <c r="J16" s="65"/>
      <c r="K16" s="65"/>
      <c r="L16" s="65"/>
      <c r="M16" s="65"/>
      <c r="N16" s="65"/>
      <c r="O16" s="65"/>
      <c r="P16" s="65"/>
      <c r="Q16" s="65"/>
      <c r="R16" s="65"/>
      <c r="S16" s="65"/>
      <c r="T16" s="65"/>
      <c r="U16" s="65"/>
      <c r="V16" s="65"/>
      <c r="W16" s="65"/>
      <c r="X16" s="65"/>
      <c r="Y16" s="65"/>
      <c r="Z16" s="65"/>
    </row>
    <row r="17" spans="1:26" x14ac:dyDescent="0.25">
      <c r="A17" s="396" t="str">
        <f>Vertaling!A386</f>
        <v>Bron: Belastingdienst</v>
      </c>
      <c r="B17" s="65"/>
      <c r="C17" s="65"/>
      <c r="D17" s="65"/>
      <c r="E17" s="65"/>
      <c r="F17" s="65"/>
      <c r="G17" s="65"/>
      <c r="H17" s="65"/>
      <c r="I17" s="65"/>
      <c r="J17" s="65"/>
      <c r="K17" s="65"/>
      <c r="L17" s="65"/>
      <c r="M17" s="65"/>
      <c r="N17" s="65"/>
      <c r="O17" s="65"/>
      <c r="P17" s="65"/>
      <c r="Q17" s="65"/>
      <c r="R17" s="65"/>
      <c r="S17" s="65"/>
      <c r="T17" s="65"/>
      <c r="U17" s="65"/>
      <c r="V17" s="65"/>
      <c r="W17" s="65"/>
      <c r="X17" s="65"/>
      <c r="Y17" s="65"/>
      <c r="Z17" s="65"/>
    </row>
    <row r="18" spans="1:26" x14ac:dyDescent="0.25">
      <c r="A18" s="65"/>
      <c r="B18" s="65"/>
      <c r="C18" s="65"/>
      <c r="D18" s="65"/>
      <c r="E18" s="65"/>
      <c r="F18" s="65"/>
      <c r="G18" s="65"/>
      <c r="H18" s="65"/>
      <c r="I18" s="65"/>
      <c r="J18" s="65"/>
      <c r="K18" s="65"/>
      <c r="L18" s="65"/>
      <c r="M18" s="65"/>
      <c r="N18" s="65"/>
      <c r="O18" s="65"/>
      <c r="P18" s="65"/>
      <c r="Q18" s="65"/>
      <c r="R18" s="65"/>
      <c r="S18" s="65"/>
      <c r="T18" s="65"/>
      <c r="U18" s="65"/>
      <c r="V18" s="65"/>
      <c r="W18" s="65"/>
      <c r="X18" s="65"/>
      <c r="Y18" s="65"/>
      <c r="Z18" s="65"/>
    </row>
    <row r="19" spans="1:26" x14ac:dyDescent="0.25">
      <c r="A19" s="65"/>
      <c r="B19" s="65"/>
      <c r="C19" s="65"/>
      <c r="D19" s="65"/>
      <c r="E19" s="65"/>
      <c r="F19" s="65"/>
      <c r="G19" s="65"/>
      <c r="H19" s="65"/>
      <c r="I19" s="65"/>
      <c r="J19" s="65"/>
      <c r="K19" s="65"/>
      <c r="L19" s="65"/>
      <c r="M19" s="65"/>
      <c r="N19" s="65"/>
      <c r="O19" s="65"/>
      <c r="P19" s="65"/>
      <c r="Q19" s="65"/>
      <c r="R19" s="65"/>
      <c r="S19" s="65"/>
      <c r="T19" s="65"/>
      <c r="U19" s="65"/>
      <c r="V19" s="65"/>
      <c r="W19" s="65"/>
      <c r="X19" s="65"/>
      <c r="Y19" s="65"/>
      <c r="Z19" s="65"/>
    </row>
    <row r="20" spans="1:26" x14ac:dyDescent="0.25">
      <c r="A20" s="65"/>
      <c r="B20" s="65"/>
      <c r="C20" s="65"/>
      <c r="D20" s="65"/>
      <c r="E20" s="65"/>
      <c r="F20" s="65"/>
      <c r="G20" s="65"/>
      <c r="H20" s="65"/>
      <c r="I20" s="65"/>
      <c r="J20" s="65"/>
      <c r="K20" s="65"/>
      <c r="L20" s="65"/>
      <c r="M20" s="65"/>
      <c r="N20" s="65"/>
      <c r="O20" s="65"/>
      <c r="P20" s="65"/>
      <c r="Q20" s="65"/>
      <c r="R20" s="65"/>
      <c r="S20" s="65"/>
      <c r="T20" s="65"/>
      <c r="U20" s="65"/>
      <c r="V20" s="65"/>
      <c r="W20" s="65"/>
      <c r="X20" s="65"/>
      <c r="Y20" s="65"/>
      <c r="Z20" s="65"/>
    </row>
    <row r="21" spans="1:26" x14ac:dyDescent="0.25">
      <c r="A21" s="65"/>
      <c r="B21" s="65"/>
      <c r="C21" s="65"/>
      <c r="D21" s="65"/>
      <c r="E21" s="65"/>
      <c r="F21" s="65"/>
      <c r="G21" s="65"/>
      <c r="H21" s="65"/>
      <c r="I21" s="65"/>
      <c r="J21" s="65"/>
      <c r="K21" s="65"/>
      <c r="L21" s="65"/>
      <c r="M21" s="65"/>
      <c r="N21" s="65"/>
      <c r="O21" s="65"/>
      <c r="P21" s="65"/>
      <c r="Q21" s="65"/>
      <c r="R21" s="65"/>
      <c r="S21" s="65"/>
      <c r="T21" s="65"/>
      <c r="U21" s="65"/>
      <c r="V21" s="65"/>
      <c r="W21" s="65"/>
      <c r="X21" s="65"/>
      <c r="Y21" s="65"/>
      <c r="Z21" s="65"/>
    </row>
    <row r="22" spans="1:26" x14ac:dyDescent="0.25">
      <c r="A22" s="65"/>
      <c r="B22" s="65"/>
      <c r="C22" s="65"/>
      <c r="D22" s="65"/>
      <c r="E22" s="65"/>
      <c r="F22" s="65"/>
      <c r="G22" s="65"/>
      <c r="H22" s="65"/>
      <c r="I22" s="65"/>
      <c r="J22" s="65"/>
      <c r="K22" s="65"/>
      <c r="L22" s="65"/>
      <c r="M22" s="65"/>
      <c r="N22" s="65"/>
      <c r="O22" s="65"/>
      <c r="P22" s="65"/>
      <c r="Q22" s="65"/>
      <c r="R22" s="65"/>
      <c r="S22" s="65"/>
      <c r="T22" s="65"/>
      <c r="U22" s="65"/>
      <c r="V22" s="65"/>
      <c r="W22" s="65"/>
      <c r="X22" s="65"/>
      <c r="Y22" s="65"/>
      <c r="Z22" s="65"/>
    </row>
    <row r="23" spans="1:26" x14ac:dyDescent="0.25">
      <c r="A23" s="65"/>
      <c r="B23" s="65"/>
      <c r="C23" s="65"/>
      <c r="D23" s="65"/>
      <c r="E23" s="65"/>
      <c r="F23" s="65"/>
      <c r="G23" s="65"/>
      <c r="H23" s="65"/>
      <c r="I23" s="65"/>
      <c r="J23" s="65"/>
      <c r="K23" s="65"/>
      <c r="L23" s="65"/>
      <c r="M23" s="65"/>
      <c r="N23" s="65"/>
      <c r="O23" s="65"/>
      <c r="P23" s="65"/>
      <c r="Q23" s="65"/>
      <c r="R23" s="65"/>
      <c r="S23" s="65"/>
      <c r="T23" s="65"/>
      <c r="U23" s="65"/>
      <c r="V23" s="65"/>
      <c r="W23" s="65"/>
      <c r="X23" s="65"/>
      <c r="Y23" s="65"/>
      <c r="Z23" s="65"/>
    </row>
    <row r="24" spans="1:26" x14ac:dyDescent="0.25">
      <c r="A24" s="65"/>
      <c r="B24" s="65"/>
      <c r="C24" s="65"/>
      <c r="D24" s="65"/>
      <c r="E24" s="65"/>
      <c r="F24" s="65"/>
      <c r="G24" s="65"/>
      <c r="H24" s="65"/>
      <c r="I24" s="65"/>
      <c r="J24" s="65"/>
      <c r="K24" s="65"/>
      <c r="L24" s="65"/>
      <c r="M24" s="65"/>
      <c r="N24" s="65"/>
      <c r="O24" s="65"/>
      <c r="P24" s="65"/>
      <c r="Q24" s="65"/>
      <c r="R24" s="65"/>
      <c r="S24" s="65"/>
      <c r="T24" s="65"/>
      <c r="U24" s="65"/>
      <c r="V24" s="65"/>
      <c r="W24" s="65"/>
      <c r="X24" s="65"/>
      <c r="Y24" s="65"/>
      <c r="Z24" s="65"/>
    </row>
    <row r="25" spans="1:26" x14ac:dyDescent="0.25">
      <c r="A25" s="65"/>
      <c r="B25" s="65"/>
      <c r="C25" s="65"/>
      <c r="D25" s="65"/>
      <c r="E25" s="65"/>
      <c r="F25" s="65"/>
      <c r="G25" s="65"/>
      <c r="H25" s="65"/>
      <c r="I25" s="65"/>
      <c r="J25" s="65"/>
      <c r="K25" s="65"/>
      <c r="L25" s="65"/>
      <c r="M25" s="65"/>
      <c r="N25" s="65"/>
      <c r="O25" s="65"/>
      <c r="P25" s="65"/>
      <c r="Q25" s="65"/>
      <c r="R25" s="65"/>
      <c r="S25" s="65"/>
      <c r="T25" s="65"/>
      <c r="U25" s="65"/>
      <c r="V25" s="65"/>
      <c r="W25" s="65"/>
      <c r="X25" s="65"/>
      <c r="Y25" s="65"/>
      <c r="Z25" s="65"/>
    </row>
    <row r="26" spans="1:26" x14ac:dyDescent="0.25">
      <c r="A26" s="65"/>
      <c r="B26" s="65"/>
      <c r="C26" s="65"/>
      <c r="D26" s="65"/>
      <c r="E26" s="65"/>
      <c r="F26" s="65"/>
      <c r="G26" s="65"/>
      <c r="H26" s="65"/>
      <c r="I26" s="65"/>
      <c r="J26" s="65"/>
      <c r="K26" s="65"/>
      <c r="L26" s="65"/>
      <c r="M26" s="65"/>
      <c r="N26" s="65"/>
      <c r="O26" s="65"/>
      <c r="P26" s="65"/>
      <c r="Q26" s="65"/>
      <c r="R26" s="65"/>
      <c r="S26" s="65"/>
      <c r="T26" s="65"/>
      <c r="U26" s="65"/>
      <c r="V26" s="65"/>
      <c r="W26" s="65"/>
      <c r="X26" s="65"/>
      <c r="Y26" s="65"/>
      <c r="Z26" s="65"/>
    </row>
    <row r="27" spans="1:26" x14ac:dyDescent="0.25">
      <c r="A27" s="65"/>
      <c r="B27" s="65"/>
      <c r="C27" s="65"/>
      <c r="D27" s="65"/>
      <c r="E27" s="65"/>
      <c r="F27" s="65"/>
      <c r="G27" s="65"/>
      <c r="H27" s="65"/>
      <c r="I27" s="65"/>
      <c r="J27" s="65"/>
      <c r="K27" s="65"/>
      <c r="L27" s="65"/>
      <c r="M27" s="65"/>
      <c r="N27" s="65"/>
      <c r="O27" s="65"/>
      <c r="P27" s="65"/>
      <c r="Q27" s="65"/>
      <c r="R27" s="65"/>
      <c r="S27" s="65"/>
      <c r="T27" s="65"/>
      <c r="U27" s="65"/>
      <c r="V27" s="65"/>
      <c r="W27" s="65"/>
      <c r="X27" s="65"/>
      <c r="Y27" s="65"/>
      <c r="Z27" s="65"/>
    </row>
    <row r="28" spans="1:26" x14ac:dyDescent="0.25">
      <c r="A28" s="65"/>
      <c r="B28" s="65"/>
      <c r="C28" s="65"/>
      <c r="D28" s="65"/>
      <c r="E28" s="65"/>
      <c r="F28" s="65"/>
      <c r="G28" s="65"/>
      <c r="H28" s="65"/>
      <c r="I28" s="65"/>
      <c r="J28" s="65"/>
      <c r="K28" s="65"/>
      <c r="L28" s="65"/>
      <c r="M28" s="65"/>
      <c r="N28" s="65"/>
      <c r="O28" s="65"/>
      <c r="P28" s="65"/>
      <c r="Q28" s="65"/>
      <c r="R28" s="65"/>
      <c r="S28" s="65"/>
      <c r="T28" s="65"/>
      <c r="U28" s="65"/>
      <c r="V28" s="65"/>
      <c r="W28" s="65"/>
      <c r="X28" s="65"/>
      <c r="Y28" s="65"/>
      <c r="Z28" s="65"/>
    </row>
    <row r="29" spans="1:26" x14ac:dyDescent="0.25">
      <c r="A29" s="65"/>
      <c r="B29" s="65"/>
      <c r="C29" s="65"/>
      <c r="D29" s="65"/>
      <c r="E29" s="65"/>
      <c r="F29" s="65"/>
      <c r="G29" s="65"/>
      <c r="H29" s="65"/>
      <c r="I29" s="65"/>
      <c r="J29" s="65"/>
      <c r="K29" s="65"/>
      <c r="L29" s="65"/>
      <c r="M29" s="65"/>
      <c r="N29" s="65"/>
      <c r="O29" s="65"/>
      <c r="P29" s="65"/>
      <c r="Q29" s="65"/>
      <c r="R29" s="65"/>
      <c r="S29" s="65"/>
      <c r="T29" s="65"/>
      <c r="U29" s="65"/>
      <c r="V29" s="65"/>
      <c r="W29" s="65"/>
      <c r="X29" s="65"/>
      <c r="Y29" s="65"/>
      <c r="Z29" s="65"/>
    </row>
    <row r="30" spans="1:26" x14ac:dyDescent="0.25">
      <c r="A30" s="65"/>
      <c r="B30" s="65"/>
      <c r="C30" s="65"/>
      <c r="D30" s="65"/>
      <c r="E30" s="65"/>
      <c r="F30" s="65"/>
      <c r="G30" s="65"/>
      <c r="H30" s="65"/>
      <c r="I30" s="65"/>
      <c r="J30" s="65"/>
      <c r="K30" s="65"/>
      <c r="L30" s="65"/>
      <c r="M30" s="65"/>
      <c r="N30" s="65"/>
      <c r="O30" s="65"/>
      <c r="P30" s="65"/>
      <c r="Q30" s="65"/>
      <c r="R30" s="65"/>
      <c r="S30" s="65"/>
      <c r="T30" s="65"/>
      <c r="U30" s="65"/>
      <c r="V30" s="65"/>
      <c r="W30" s="65"/>
      <c r="X30" s="65"/>
      <c r="Y30" s="65"/>
      <c r="Z30" s="65"/>
    </row>
    <row r="31" spans="1:26" x14ac:dyDescent="0.25">
      <c r="A31" s="65"/>
      <c r="B31" s="65"/>
      <c r="C31" s="65"/>
      <c r="D31" s="65"/>
      <c r="E31" s="65"/>
      <c r="F31" s="65"/>
      <c r="G31" s="65"/>
      <c r="H31" s="65"/>
      <c r="I31" s="65"/>
      <c r="J31" s="65"/>
      <c r="K31" s="65"/>
      <c r="L31" s="65"/>
      <c r="M31" s="65"/>
      <c r="N31" s="65"/>
      <c r="O31" s="65"/>
      <c r="P31" s="65"/>
      <c r="Q31" s="65"/>
      <c r="R31" s="65"/>
      <c r="S31" s="65"/>
      <c r="T31" s="65"/>
      <c r="U31" s="65"/>
      <c r="V31" s="65"/>
      <c r="W31" s="65"/>
      <c r="X31" s="65"/>
      <c r="Y31" s="65"/>
      <c r="Z31" s="65"/>
    </row>
    <row r="32" spans="1:26" x14ac:dyDescent="0.25">
      <c r="A32" s="65"/>
      <c r="B32" s="65"/>
      <c r="C32" s="65"/>
      <c r="D32" s="65"/>
      <c r="E32" s="65"/>
      <c r="F32" s="65"/>
      <c r="G32" s="65"/>
      <c r="H32" s="65"/>
      <c r="I32" s="65"/>
      <c r="J32" s="65"/>
      <c r="K32" s="65"/>
      <c r="L32" s="65"/>
      <c r="M32" s="65"/>
      <c r="N32" s="65"/>
      <c r="O32" s="65"/>
      <c r="P32" s="65"/>
      <c r="Q32" s="65"/>
      <c r="R32" s="65"/>
      <c r="S32" s="65"/>
      <c r="T32" s="65"/>
      <c r="U32" s="65"/>
      <c r="V32" s="65"/>
      <c r="W32" s="65"/>
      <c r="X32" s="65"/>
      <c r="Y32" s="65"/>
      <c r="Z32" s="65"/>
    </row>
    <row r="33" spans="1:26" x14ac:dyDescent="0.25">
      <c r="A33" s="65"/>
      <c r="B33" s="65"/>
      <c r="C33" s="65"/>
      <c r="D33" s="65"/>
      <c r="E33" s="65"/>
      <c r="F33" s="65"/>
      <c r="G33" s="65"/>
      <c r="H33" s="65"/>
      <c r="I33" s="65"/>
      <c r="J33" s="65"/>
      <c r="K33" s="65"/>
      <c r="L33" s="65"/>
      <c r="M33" s="65"/>
      <c r="N33" s="65"/>
      <c r="O33" s="65"/>
      <c r="P33" s="65"/>
      <c r="Q33" s="65"/>
      <c r="R33" s="65"/>
      <c r="S33" s="65"/>
      <c r="T33" s="65"/>
      <c r="U33" s="65"/>
      <c r="V33" s="65"/>
      <c r="W33" s="65"/>
      <c r="X33" s="65"/>
      <c r="Y33" s="65"/>
      <c r="Z33" s="65"/>
    </row>
    <row r="34" spans="1:26" x14ac:dyDescent="0.25">
      <c r="A34" s="65"/>
      <c r="B34" s="65"/>
      <c r="C34" s="65"/>
      <c r="D34" s="65"/>
      <c r="E34" s="65"/>
      <c r="F34" s="65"/>
      <c r="G34" s="65"/>
      <c r="H34" s="65"/>
      <c r="I34" s="65"/>
      <c r="J34" s="65"/>
      <c r="K34" s="65"/>
      <c r="L34" s="65"/>
      <c r="M34" s="65"/>
      <c r="N34" s="65"/>
      <c r="O34" s="65"/>
      <c r="P34" s="65"/>
      <c r="Q34" s="65"/>
      <c r="R34" s="65"/>
      <c r="S34" s="65"/>
      <c r="T34" s="65"/>
      <c r="U34" s="65"/>
      <c r="V34" s="65"/>
      <c r="W34" s="65"/>
      <c r="X34" s="65"/>
      <c r="Y34" s="65"/>
      <c r="Z34" s="65"/>
    </row>
    <row r="35" spans="1:26" x14ac:dyDescent="0.25">
      <c r="A35" s="65"/>
      <c r="B35" s="65"/>
      <c r="C35" s="65"/>
      <c r="D35" s="65"/>
      <c r="E35" s="65"/>
      <c r="F35" s="65"/>
      <c r="G35" s="65"/>
      <c r="H35" s="65"/>
      <c r="I35" s="65"/>
      <c r="J35" s="65"/>
      <c r="K35" s="65"/>
      <c r="L35" s="65"/>
      <c r="M35" s="65"/>
      <c r="N35" s="65"/>
      <c r="O35" s="65"/>
      <c r="P35" s="65"/>
      <c r="Q35" s="65"/>
      <c r="R35" s="65"/>
      <c r="S35" s="65"/>
      <c r="T35" s="65"/>
      <c r="U35" s="65"/>
      <c r="V35" s="65"/>
      <c r="W35" s="65"/>
      <c r="X35" s="65"/>
      <c r="Y35" s="65"/>
      <c r="Z35" s="65"/>
    </row>
    <row r="36" spans="1:26" x14ac:dyDescent="0.25">
      <c r="A36" s="65"/>
      <c r="B36" s="65"/>
      <c r="C36" s="65"/>
      <c r="D36" s="65"/>
      <c r="E36" s="65"/>
      <c r="F36" s="65"/>
      <c r="G36" s="65"/>
      <c r="H36" s="65"/>
      <c r="I36" s="65"/>
      <c r="J36" s="65"/>
      <c r="K36" s="65"/>
      <c r="L36" s="65"/>
      <c r="M36" s="65"/>
      <c r="N36" s="65"/>
      <c r="O36" s="65"/>
      <c r="P36" s="65"/>
      <c r="Q36" s="65"/>
      <c r="R36" s="65"/>
      <c r="S36" s="65"/>
      <c r="T36" s="65"/>
      <c r="U36" s="65"/>
      <c r="V36" s="65"/>
      <c r="W36" s="65"/>
      <c r="X36" s="65"/>
      <c r="Y36" s="65"/>
      <c r="Z36" s="65"/>
    </row>
    <row r="37" spans="1:26" x14ac:dyDescent="0.25">
      <c r="A37" s="65"/>
      <c r="B37" s="65"/>
      <c r="C37" s="65"/>
      <c r="D37" s="65"/>
      <c r="E37" s="65"/>
      <c r="F37" s="65"/>
      <c r="G37" s="65"/>
      <c r="H37" s="65"/>
      <c r="I37" s="65"/>
      <c r="J37" s="65"/>
      <c r="K37" s="65"/>
      <c r="L37" s="65"/>
      <c r="M37" s="65"/>
      <c r="N37" s="65"/>
      <c r="O37" s="65"/>
      <c r="P37" s="65"/>
      <c r="Q37" s="65"/>
      <c r="R37" s="65"/>
      <c r="S37" s="65"/>
      <c r="T37" s="65"/>
      <c r="U37" s="65"/>
      <c r="V37" s="65"/>
      <c r="W37" s="65"/>
      <c r="X37" s="65"/>
      <c r="Y37" s="65"/>
      <c r="Z37" s="65"/>
    </row>
    <row r="38" spans="1:26" x14ac:dyDescent="0.25">
      <c r="A38" s="65"/>
      <c r="B38" s="65"/>
      <c r="C38" s="65"/>
      <c r="D38" s="65"/>
      <c r="E38" s="65"/>
      <c r="F38" s="65"/>
      <c r="G38" s="65"/>
      <c r="H38" s="65"/>
      <c r="I38" s="65"/>
      <c r="J38" s="65"/>
      <c r="K38" s="65"/>
      <c r="L38" s="65"/>
      <c r="M38" s="65"/>
      <c r="N38" s="65"/>
      <c r="O38" s="65"/>
      <c r="P38" s="65"/>
      <c r="Q38" s="65"/>
      <c r="R38" s="65"/>
      <c r="S38" s="65"/>
      <c r="T38" s="65"/>
      <c r="U38" s="65"/>
      <c r="V38" s="65"/>
      <c r="W38" s="65"/>
      <c r="X38" s="65"/>
      <c r="Y38" s="65"/>
      <c r="Z38" s="65"/>
    </row>
    <row r="39" spans="1:26" x14ac:dyDescent="0.25">
      <c r="A39" s="65"/>
      <c r="B39" s="65"/>
      <c r="C39" s="65"/>
      <c r="D39" s="65"/>
      <c r="E39" s="65"/>
      <c r="F39" s="65"/>
      <c r="G39" s="65"/>
      <c r="H39" s="65"/>
      <c r="I39" s="65"/>
      <c r="J39" s="65"/>
      <c r="K39" s="65"/>
      <c r="L39" s="65"/>
      <c r="M39" s="65"/>
      <c r="N39" s="65"/>
      <c r="O39" s="65"/>
      <c r="P39" s="65"/>
      <c r="Q39" s="65"/>
      <c r="R39" s="65"/>
      <c r="S39" s="65"/>
      <c r="T39" s="65"/>
      <c r="U39" s="65"/>
      <c r="V39" s="65"/>
      <c r="W39" s="65"/>
      <c r="X39" s="65"/>
      <c r="Y39" s="65"/>
      <c r="Z39" s="65"/>
    </row>
    <row r="40" spans="1:26" x14ac:dyDescent="0.25">
      <c r="A40" s="65"/>
      <c r="B40" s="65"/>
      <c r="C40" s="65"/>
      <c r="D40" s="65"/>
      <c r="E40" s="65"/>
      <c r="F40" s="65"/>
      <c r="G40" s="65"/>
      <c r="H40" s="65"/>
      <c r="I40" s="65"/>
      <c r="J40" s="65"/>
      <c r="K40" s="65"/>
      <c r="L40" s="65"/>
      <c r="M40" s="65"/>
      <c r="N40" s="65"/>
      <c r="O40" s="65"/>
      <c r="P40" s="65"/>
      <c r="Q40" s="65"/>
      <c r="R40" s="65"/>
      <c r="S40" s="65"/>
      <c r="T40" s="65"/>
      <c r="U40" s="65"/>
      <c r="V40" s="65"/>
      <c r="W40" s="65"/>
      <c r="X40" s="65"/>
      <c r="Y40" s="65"/>
      <c r="Z40" s="65"/>
    </row>
    <row r="41" spans="1:26" x14ac:dyDescent="0.25">
      <c r="A41" s="65"/>
      <c r="B41" s="65"/>
      <c r="C41" s="65"/>
      <c r="D41" s="65"/>
      <c r="E41" s="65"/>
      <c r="F41" s="65"/>
      <c r="G41" s="65"/>
      <c r="H41" s="65"/>
      <c r="I41" s="65"/>
      <c r="J41" s="65"/>
      <c r="K41" s="65"/>
      <c r="L41" s="65"/>
      <c r="M41" s="65"/>
      <c r="N41" s="65"/>
      <c r="O41" s="65"/>
      <c r="P41" s="65"/>
      <c r="Q41" s="65"/>
      <c r="R41" s="65"/>
      <c r="S41" s="65"/>
      <c r="T41" s="65"/>
      <c r="U41" s="65"/>
      <c r="V41" s="65"/>
      <c r="W41" s="65"/>
      <c r="X41" s="65"/>
      <c r="Y41" s="65"/>
      <c r="Z41" s="65"/>
    </row>
    <row r="42" spans="1:26" x14ac:dyDescent="0.25">
      <c r="A42" s="65"/>
      <c r="B42" s="65"/>
      <c r="C42" s="65"/>
      <c r="D42" s="65"/>
      <c r="E42" s="65"/>
      <c r="F42" s="65"/>
      <c r="G42" s="65"/>
      <c r="H42" s="65"/>
      <c r="I42" s="65"/>
      <c r="J42" s="65"/>
      <c r="K42" s="65"/>
      <c r="L42" s="65"/>
      <c r="M42" s="65"/>
      <c r="N42" s="65"/>
      <c r="O42" s="65"/>
      <c r="P42" s="65"/>
      <c r="Q42" s="65"/>
      <c r="R42" s="65"/>
      <c r="S42" s="65"/>
      <c r="T42" s="65"/>
      <c r="U42" s="65"/>
      <c r="V42" s="65"/>
      <c r="W42" s="65"/>
      <c r="X42" s="65"/>
      <c r="Y42" s="65"/>
      <c r="Z42" s="65"/>
    </row>
    <row r="43" spans="1:26" x14ac:dyDescent="0.25">
      <c r="A43" s="65"/>
      <c r="B43" s="65"/>
      <c r="C43" s="65"/>
      <c r="D43" s="65"/>
      <c r="E43" s="65"/>
      <c r="F43" s="65"/>
      <c r="G43" s="65"/>
      <c r="H43" s="65"/>
      <c r="I43" s="65"/>
      <c r="J43" s="65"/>
      <c r="K43" s="65"/>
      <c r="L43" s="65"/>
      <c r="M43" s="65"/>
      <c r="N43" s="65"/>
      <c r="O43" s="65"/>
      <c r="P43" s="65"/>
      <c r="Q43" s="65"/>
      <c r="R43" s="65"/>
      <c r="S43" s="65"/>
      <c r="T43" s="65"/>
      <c r="U43" s="65"/>
      <c r="V43" s="65"/>
      <c r="W43" s="65"/>
      <c r="X43" s="65"/>
      <c r="Y43" s="65"/>
      <c r="Z43" s="65"/>
    </row>
    <row r="44" spans="1:26" x14ac:dyDescent="0.25">
      <c r="A44" s="65"/>
      <c r="B44" s="65"/>
      <c r="C44" s="65"/>
      <c r="D44" s="65"/>
      <c r="E44" s="65"/>
      <c r="F44" s="65"/>
      <c r="G44" s="65"/>
      <c r="H44" s="65"/>
      <c r="I44" s="65"/>
      <c r="J44" s="65"/>
      <c r="K44" s="65"/>
      <c r="L44" s="65"/>
      <c r="M44" s="65"/>
      <c r="N44" s="65"/>
      <c r="O44" s="65"/>
      <c r="P44" s="65"/>
      <c r="Q44" s="65"/>
      <c r="R44" s="65"/>
      <c r="S44" s="65"/>
      <c r="T44" s="65"/>
      <c r="U44" s="65"/>
      <c r="V44" s="65"/>
      <c r="W44" s="65"/>
      <c r="X44" s="65"/>
      <c r="Y44" s="65"/>
      <c r="Z44" s="65"/>
    </row>
    <row r="45" spans="1:26" x14ac:dyDescent="0.25">
      <c r="A45" s="65"/>
      <c r="B45" s="65"/>
      <c r="C45" s="65"/>
      <c r="D45" s="65"/>
      <c r="E45" s="65"/>
      <c r="F45" s="65"/>
      <c r="G45" s="65"/>
      <c r="H45" s="65"/>
      <c r="I45" s="65"/>
      <c r="J45" s="65"/>
      <c r="K45" s="65"/>
      <c r="L45" s="65"/>
      <c r="M45" s="65"/>
      <c r="N45" s="65"/>
      <c r="O45" s="65"/>
      <c r="P45" s="65"/>
      <c r="Q45" s="65"/>
      <c r="R45" s="65"/>
      <c r="S45" s="65"/>
      <c r="T45" s="65"/>
      <c r="U45" s="65"/>
      <c r="V45" s="65"/>
      <c r="W45" s="65"/>
      <c r="X45" s="65"/>
      <c r="Y45" s="65"/>
      <c r="Z45" s="65"/>
    </row>
    <row r="46" spans="1:26" x14ac:dyDescent="0.25">
      <c r="A46" s="65"/>
      <c r="B46" s="65"/>
      <c r="C46" s="65"/>
      <c r="D46" s="65"/>
      <c r="E46" s="65"/>
      <c r="F46" s="65"/>
      <c r="G46" s="65"/>
      <c r="H46" s="65"/>
      <c r="I46" s="65"/>
      <c r="J46" s="65"/>
      <c r="K46" s="65"/>
      <c r="L46" s="65"/>
      <c r="M46" s="65"/>
      <c r="N46" s="65"/>
      <c r="O46" s="65"/>
      <c r="P46" s="65"/>
      <c r="Q46" s="65"/>
      <c r="R46" s="65"/>
      <c r="S46" s="65"/>
      <c r="T46" s="65"/>
      <c r="U46" s="65"/>
      <c r="V46" s="65"/>
      <c r="W46" s="65"/>
      <c r="X46" s="65"/>
      <c r="Y46" s="65"/>
      <c r="Z46" s="65"/>
    </row>
    <row r="47" spans="1:26" x14ac:dyDescent="0.25">
      <c r="A47" s="65"/>
      <c r="B47" s="65"/>
      <c r="C47" s="65"/>
      <c r="D47" s="65"/>
      <c r="E47" s="65"/>
      <c r="F47" s="65"/>
      <c r="G47" s="65"/>
      <c r="H47" s="65"/>
      <c r="I47" s="65"/>
      <c r="J47" s="65"/>
      <c r="K47" s="65"/>
      <c r="L47" s="65"/>
      <c r="M47" s="65"/>
      <c r="N47" s="65"/>
      <c r="O47" s="65"/>
      <c r="P47" s="65"/>
      <c r="Q47" s="65"/>
      <c r="R47" s="65"/>
      <c r="S47" s="65"/>
      <c r="T47" s="65"/>
      <c r="U47" s="65"/>
      <c r="V47" s="65"/>
      <c r="W47" s="65"/>
      <c r="X47" s="65"/>
      <c r="Y47" s="65"/>
      <c r="Z47" s="65"/>
    </row>
    <row r="48" spans="1:26" x14ac:dyDescent="0.25">
      <c r="A48" s="65"/>
      <c r="B48" s="65"/>
      <c r="C48" s="65"/>
      <c r="D48" s="65"/>
      <c r="E48" s="65"/>
      <c r="F48" s="65"/>
      <c r="G48" s="65"/>
      <c r="H48" s="65"/>
      <c r="I48" s="65"/>
      <c r="J48" s="65"/>
      <c r="K48" s="65"/>
      <c r="L48" s="65"/>
      <c r="M48" s="65"/>
      <c r="N48" s="65"/>
      <c r="O48" s="65"/>
      <c r="P48" s="65"/>
      <c r="Q48" s="65"/>
      <c r="R48" s="65"/>
      <c r="S48" s="65"/>
      <c r="T48" s="65"/>
      <c r="U48" s="65"/>
      <c r="V48" s="65"/>
      <c r="W48" s="65"/>
      <c r="X48" s="65"/>
      <c r="Y48" s="65"/>
      <c r="Z48" s="65"/>
    </row>
    <row r="49" spans="1:26" x14ac:dyDescent="0.25">
      <c r="A49" s="65"/>
      <c r="B49" s="65"/>
      <c r="C49" s="65"/>
      <c r="D49" s="65"/>
      <c r="E49" s="65"/>
      <c r="F49" s="65"/>
      <c r="G49" s="65"/>
      <c r="H49" s="65"/>
      <c r="I49" s="65"/>
      <c r="J49" s="65"/>
      <c r="K49" s="65"/>
      <c r="L49" s="65"/>
      <c r="M49" s="65"/>
      <c r="N49" s="65"/>
      <c r="O49" s="65"/>
      <c r="P49" s="65"/>
      <c r="Q49" s="65"/>
      <c r="R49" s="65"/>
      <c r="S49" s="65"/>
      <c r="T49" s="65"/>
      <c r="U49" s="65"/>
      <c r="V49" s="65"/>
      <c r="W49" s="65"/>
      <c r="X49" s="65"/>
      <c r="Y49" s="65"/>
      <c r="Z49" s="65"/>
    </row>
    <row r="50" spans="1:26" x14ac:dyDescent="0.25">
      <c r="A50" s="65"/>
      <c r="B50" s="65"/>
      <c r="C50" s="65"/>
      <c r="D50" s="65"/>
      <c r="E50" s="65"/>
      <c r="F50" s="65"/>
      <c r="G50" s="65"/>
      <c r="H50" s="65"/>
      <c r="I50" s="65"/>
      <c r="J50" s="65"/>
      <c r="K50" s="65"/>
      <c r="L50" s="65"/>
      <c r="M50" s="65"/>
      <c r="N50" s="65"/>
      <c r="O50" s="65"/>
      <c r="P50" s="65"/>
      <c r="Q50" s="65"/>
      <c r="R50" s="65"/>
      <c r="S50" s="65"/>
      <c r="T50" s="65"/>
      <c r="U50" s="65"/>
      <c r="V50" s="65"/>
      <c r="W50" s="65"/>
      <c r="X50" s="65"/>
      <c r="Y50" s="65"/>
      <c r="Z50" s="65"/>
    </row>
    <row r="51" spans="1:26" x14ac:dyDescent="0.25">
      <c r="A51" s="65"/>
      <c r="B51" s="65"/>
      <c r="C51" s="65"/>
      <c r="D51" s="65"/>
      <c r="E51" s="65"/>
      <c r="F51" s="65"/>
      <c r="G51" s="65"/>
      <c r="H51" s="65"/>
      <c r="I51" s="65"/>
      <c r="J51" s="65"/>
      <c r="K51" s="65"/>
      <c r="L51" s="65"/>
      <c r="M51" s="65"/>
      <c r="N51" s="65"/>
      <c r="O51" s="65"/>
      <c r="P51" s="65"/>
      <c r="Q51" s="65"/>
      <c r="R51" s="65"/>
      <c r="S51" s="65"/>
      <c r="T51" s="65"/>
      <c r="U51" s="65"/>
      <c r="V51" s="65"/>
      <c r="W51" s="65"/>
      <c r="X51" s="65"/>
      <c r="Y51" s="65"/>
      <c r="Z51" s="65"/>
    </row>
    <row r="52" spans="1:26" x14ac:dyDescent="0.25">
      <c r="A52" s="65"/>
      <c r="B52" s="65"/>
      <c r="C52" s="65"/>
      <c r="D52" s="65"/>
      <c r="E52" s="65"/>
      <c r="F52" s="65"/>
      <c r="G52" s="65"/>
      <c r="H52" s="65"/>
      <c r="I52" s="65"/>
      <c r="J52" s="65"/>
      <c r="K52" s="65"/>
      <c r="L52" s="65"/>
      <c r="M52" s="65"/>
      <c r="N52" s="65"/>
      <c r="O52" s="65"/>
      <c r="P52" s="65"/>
      <c r="Q52" s="65"/>
      <c r="R52" s="65"/>
      <c r="S52" s="65"/>
      <c r="T52" s="65"/>
      <c r="U52" s="65"/>
      <c r="V52" s="65"/>
      <c r="W52" s="65"/>
      <c r="X52" s="65"/>
      <c r="Y52" s="65"/>
      <c r="Z52" s="65"/>
    </row>
    <row r="53" spans="1:26" x14ac:dyDescent="0.25">
      <c r="A53" s="65"/>
      <c r="B53" s="65"/>
      <c r="C53" s="65"/>
      <c r="D53" s="65"/>
      <c r="E53" s="65"/>
      <c r="F53" s="65"/>
      <c r="G53" s="65"/>
      <c r="H53" s="65"/>
      <c r="I53" s="65"/>
      <c r="J53" s="65"/>
      <c r="K53" s="65"/>
      <c r="L53" s="65"/>
      <c r="M53" s="65"/>
      <c r="N53" s="65"/>
      <c r="O53" s="65"/>
      <c r="P53" s="65"/>
      <c r="Q53" s="65"/>
      <c r="R53" s="65"/>
      <c r="S53" s="65"/>
      <c r="T53" s="65"/>
      <c r="U53" s="65"/>
      <c r="V53" s="65"/>
      <c r="W53" s="65"/>
      <c r="X53" s="65"/>
      <c r="Y53" s="65"/>
      <c r="Z53" s="65"/>
    </row>
    <row r="54" spans="1:26" x14ac:dyDescent="0.25">
      <c r="A54" s="65"/>
      <c r="B54" s="65"/>
      <c r="C54" s="65"/>
      <c r="D54" s="65"/>
      <c r="E54" s="65"/>
      <c r="F54" s="65"/>
      <c r="G54" s="65"/>
      <c r="H54" s="65"/>
      <c r="I54" s="65"/>
      <c r="J54" s="65"/>
      <c r="K54" s="65"/>
      <c r="L54" s="65"/>
      <c r="M54" s="65"/>
      <c r="N54" s="65"/>
      <c r="O54" s="65"/>
      <c r="P54" s="65"/>
      <c r="Q54" s="65"/>
      <c r="R54" s="65"/>
      <c r="S54" s="65"/>
      <c r="T54" s="65"/>
      <c r="U54" s="65"/>
      <c r="V54" s="65"/>
      <c r="W54" s="65"/>
      <c r="X54" s="65"/>
      <c r="Y54" s="65"/>
      <c r="Z54" s="65"/>
    </row>
    <row r="55" spans="1:26" x14ac:dyDescent="0.25">
      <c r="A55" s="65"/>
      <c r="B55" s="65"/>
      <c r="C55" s="65"/>
      <c r="D55" s="65"/>
      <c r="E55" s="65"/>
      <c r="F55" s="65"/>
      <c r="G55" s="65"/>
      <c r="H55" s="65"/>
      <c r="I55" s="65"/>
      <c r="J55" s="65"/>
      <c r="K55" s="65"/>
      <c r="L55" s="65"/>
      <c r="M55" s="65"/>
      <c r="N55" s="65"/>
      <c r="O55" s="65"/>
      <c r="P55" s="65"/>
      <c r="Q55" s="65"/>
      <c r="R55" s="65"/>
      <c r="S55" s="65"/>
      <c r="T55" s="65"/>
      <c r="U55" s="65"/>
      <c r="V55" s="65"/>
      <c r="W55" s="65"/>
      <c r="X55" s="65"/>
      <c r="Y55" s="65"/>
      <c r="Z55" s="65"/>
    </row>
    <row r="56" spans="1:26" x14ac:dyDescent="0.25">
      <c r="A56" s="65"/>
      <c r="B56" s="65"/>
      <c r="C56" s="65"/>
      <c r="D56" s="65"/>
      <c r="E56" s="65"/>
      <c r="F56" s="65"/>
      <c r="G56" s="65"/>
      <c r="H56" s="65"/>
      <c r="I56" s="65"/>
      <c r="J56" s="65"/>
      <c r="K56" s="65"/>
      <c r="L56" s="65"/>
      <c r="M56" s="65"/>
      <c r="N56" s="65"/>
      <c r="O56" s="65"/>
      <c r="P56" s="65"/>
      <c r="Q56" s="65"/>
      <c r="R56" s="65"/>
      <c r="S56" s="65"/>
      <c r="T56" s="65"/>
      <c r="U56" s="65"/>
      <c r="V56" s="65"/>
      <c r="W56" s="65"/>
      <c r="X56" s="65"/>
      <c r="Y56" s="65"/>
      <c r="Z56" s="65"/>
    </row>
    <row r="57" spans="1:26" x14ac:dyDescent="0.25">
      <c r="A57" s="65"/>
      <c r="B57" s="65"/>
      <c r="C57" s="65"/>
      <c r="D57" s="65"/>
      <c r="E57" s="65"/>
      <c r="F57" s="65"/>
      <c r="G57" s="65"/>
      <c r="H57" s="65"/>
      <c r="I57" s="65"/>
      <c r="J57" s="65"/>
      <c r="K57" s="65"/>
      <c r="L57" s="65"/>
      <c r="M57" s="65"/>
      <c r="N57" s="65"/>
      <c r="O57" s="65"/>
      <c r="P57" s="65"/>
      <c r="Q57" s="65"/>
      <c r="R57" s="65"/>
      <c r="S57" s="65"/>
      <c r="T57" s="65"/>
      <c r="U57" s="65"/>
      <c r="V57" s="65"/>
      <c r="W57" s="65"/>
      <c r="X57" s="65"/>
      <c r="Y57" s="65"/>
      <c r="Z57" s="65"/>
    </row>
    <row r="58" spans="1:26" x14ac:dyDescent="0.25">
      <c r="A58" s="65"/>
      <c r="B58" s="65"/>
      <c r="C58" s="65"/>
      <c r="D58" s="65"/>
      <c r="E58" s="65"/>
      <c r="F58" s="65"/>
      <c r="G58" s="65"/>
      <c r="H58" s="65"/>
      <c r="I58" s="65"/>
      <c r="J58" s="65"/>
      <c r="K58" s="65"/>
      <c r="L58" s="65"/>
      <c r="M58" s="65"/>
      <c r="N58" s="65"/>
      <c r="O58" s="65"/>
      <c r="P58" s="65"/>
      <c r="Q58" s="65"/>
      <c r="R58" s="65"/>
      <c r="S58" s="65"/>
      <c r="T58" s="65"/>
      <c r="U58" s="65"/>
      <c r="V58" s="65"/>
      <c r="W58" s="65"/>
      <c r="X58" s="65"/>
      <c r="Y58" s="65"/>
      <c r="Z58" s="65"/>
    </row>
    <row r="59" spans="1:26" x14ac:dyDescent="0.25">
      <c r="A59" s="65"/>
      <c r="B59" s="65"/>
      <c r="C59" s="65"/>
      <c r="D59" s="65"/>
      <c r="E59" s="65"/>
      <c r="F59" s="65"/>
      <c r="G59" s="65"/>
      <c r="H59" s="65"/>
      <c r="I59" s="65"/>
      <c r="J59" s="65"/>
      <c r="K59" s="65"/>
      <c r="L59" s="65"/>
      <c r="M59" s="65"/>
      <c r="N59" s="65"/>
      <c r="O59" s="65"/>
      <c r="P59" s="65"/>
      <c r="Q59" s="65"/>
      <c r="R59" s="65"/>
      <c r="S59" s="65"/>
      <c r="T59" s="65"/>
      <c r="U59" s="65"/>
      <c r="V59" s="65"/>
      <c r="W59" s="65"/>
      <c r="X59" s="65"/>
      <c r="Y59" s="65"/>
      <c r="Z59" s="65"/>
    </row>
    <row r="60" spans="1:26" x14ac:dyDescent="0.25">
      <c r="A60" s="65"/>
      <c r="B60" s="65"/>
      <c r="C60" s="65"/>
      <c r="D60" s="65"/>
      <c r="E60" s="65"/>
      <c r="F60" s="65"/>
      <c r="G60" s="65"/>
      <c r="H60" s="65"/>
      <c r="I60" s="65"/>
      <c r="J60" s="65"/>
      <c r="K60" s="65"/>
      <c r="L60" s="65"/>
      <c r="M60" s="65"/>
      <c r="N60" s="65"/>
      <c r="O60" s="65"/>
      <c r="P60" s="65"/>
      <c r="Q60" s="65"/>
      <c r="R60" s="65"/>
      <c r="S60" s="65"/>
      <c r="T60" s="65"/>
      <c r="U60" s="65"/>
      <c r="V60" s="65"/>
      <c r="W60" s="65"/>
      <c r="X60" s="65"/>
      <c r="Y60" s="65"/>
      <c r="Z60" s="65"/>
    </row>
    <row r="61" spans="1:26" x14ac:dyDescent="0.25">
      <c r="A61" s="65"/>
      <c r="B61" s="65"/>
      <c r="C61" s="65"/>
      <c r="D61" s="65"/>
      <c r="E61" s="65"/>
      <c r="F61" s="65"/>
      <c r="G61" s="65"/>
      <c r="H61" s="65"/>
      <c r="I61" s="65"/>
      <c r="J61" s="65"/>
      <c r="K61" s="65"/>
      <c r="L61" s="65"/>
      <c r="M61" s="65"/>
      <c r="N61" s="65"/>
      <c r="O61" s="65"/>
      <c r="P61" s="65"/>
      <c r="Q61" s="65"/>
      <c r="R61" s="65"/>
      <c r="S61" s="65"/>
      <c r="T61" s="65"/>
      <c r="U61" s="65"/>
      <c r="V61" s="65"/>
      <c r="W61" s="65"/>
      <c r="X61" s="65"/>
      <c r="Y61" s="65"/>
      <c r="Z61" s="65"/>
    </row>
    <row r="62" spans="1:26" x14ac:dyDescent="0.25">
      <c r="A62" s="65"/>
      <c r="B62" s="65"/>
      <c r="C62" s="65"/>
      <c r="D62" s="65"/>
      <c r="E62" s="65"/>
      <c r="F62" s="65"/>
      <c r="G62" s="65"/>
      <c r="H62" s="65"/>
      <c r="I62" s="65"/>
      <c r="J62" s="65"/>
      <c r="K62" s="65"/>
      <c r="L62" s="65"/>
      <c r="M62" s="65"/>
      <c r="N62" s="65"/>
      <c r="O62" s="65"/>
      <c r="P62" s="65"/>
      <c r="Q62" s="65"/>
      <c r="R62" s="65"/>
      <c r="S62" s="65"/>
      <c r="T62" s="65"/>
      <c r="U62" s="65"/>
      <c r="V62" s="65"/>
      <c r="W62" s="65"/>
      <c r="X62" s="65"/>
      <c r="Y62" s="65"/>
      <c r="Z62" s="65"/>
    </row>
    <row r="63" spans="1:26" x14ac:dyDescent="0.25">
      <c r="A63" s="65"/>
      <c r="B63" s="65"/>
      <c r="C63" s="65"/>
      <c r="D63" s="65"/>
      <c r="E63" s="65"/>
      <c r="F63" s="65"/>
      <c r="G63" s="65"/>
      <c r="H63" s="65"/>
      <c r="I63" s="65"/>
      <c r="J63" s="65"/>
      <c r="K63" s="65"/>
      <c r="L63" s="65"/>
      <c r="M63" s="65"/>
      <c r="N63" s="65"/>
      <c r="O63" s="65"/>
      <c r="P63" s="65"/>
      <c r="Q63" s="65"/>
      <c r="R63" s="65"/>
      <c r="S63" s="65"/>
      <c r="T63" s="65"/>
      <c r="U63" s="65"/>
      <c r="V63" s="65"/>
      <c r="W63" s="65"/>
      <c r="X63" s="65"/>
      <c r="Y63" s="65"/>
      <c r="Z63" s="65"/>
    </row>
    <row r="64" spans="1:26" x14ac:dyDescent="0.25">
      <c r="A64" s="65"/>
      <c r="B64" s="65"/>
      <c r="C64" s="65"/>
      <c r="D64" s="65"/>
      <c r="E64" s="65"/>
      <c r="F64" s="65"/>
      <c r="G64" s="65"/>
      <c r="H64" s="65"/>
      <c r="I64" s="65"/>
      <c r="J64" s="65"/>
      <c r="K64" s="65"/>
      <c r="L64" s="65"/>
      <c r="M64" s="65"/>
      <c r="N64" s="65"/>
      <c r="O64" s="65"/>
      <c r="P64" s="65"/>
      <c r="Q64" s="65"/>
      <c r="R64" s="65"/>
      <c r="S64" s="65"/>
      <c r="T64" s="65"/>
      <c r="U64" s="65"/>
      <c r="V64" s="65"/>
      <c r="W64" s="65"/>
      <c r="X64" s="65"/>
      <c r="Y64" s="65"/>
      <c r="Z64" s="65"/>
    </row>
    <row r="65" spans="1:26" x14ac:dyDescent="0.25">
      <c r="A65" s="65"/>
      <c r="B65" s="65"/>
      <c r="C65" s="65"/>
      <c r="D65" s="65"/>
      <c r="E65" s="65"/>
      <c r="F65" s="65"/>
      <c r="G65" s="65"/>
      <c r="H65" s="65"/>
      <c r="I65" s="65"/>
      <c r="J65" s="65"/>
      <c r="K65" s="65"/>
      <c r="L65" s="65"/>
      <c r="M65" s="65"/>
      <c r="N65" s="65"/>
      <c r="O65" s="65"/>
      <c r="P65" s="65"/>
      <c r="Q65" s="65"/>
      <c r="R65" s="65"/>
      <c r="S65" s="65"/>
      <c r="T65" s="65"/>
      <c r="U65" s="65"/>
      <c r="V65" s="65"/>
      <c r="W65" s="65"/>
      <c r="X65" s="65"/>
      <c r="Y65" s="65"/>
      <c r="Z65" s="65"/>
    </row>
    <row r="66" spans="1:26" x14ac:dyDescent="0.25">
      <c r="A66" s="65"/>
      <c r="B66" s="65"/>
      <c r="C66" s="65"/>
      <c r="D66" s="65"/>
      <c r="E66" s="65"/>
      <c r="F66" s="65"/>
      <c r="G66" s="65"/>
      <c r="H66" s="65"/>
      <c r="I66" s="65"/>
      <c r="J66" s="65"/>
      <c r="K66" s="65"/>
      <c r="L66" s="65"/>
      <c r="M66" s="65"/>
      <c r="N66" s="65"/>
      <c r="O66" s="65"/>
      <c r="P66" s="65"/>
      <c r="Q66" s="65"/>
      <c r="R66" s="65"/>
      <c r="S66" s="65"/>
      <c r="T66" s="65"/>
      <c r="U66" s="65"/>
      <c r="V66" s="65"/>
      <c r="W66" s="65"/>
      <c r="X66" s="65"/>
      <c r="Y66" s="65"/>
      <c r="Z66" s="65"/>
    </row>
    <row r="67" spans="1:26" x14ac:dyDescent="0.25">
      <c r="A67" s="65"/>
      <c r="B67" s="65"/>
      <c r="C67" s="65"/>
      <c r="D67" s="65"/>
      <c r="E67" s="65"/>
      <c r="F67" s="65"/>
      <c r="G67" s="65"/>
      <c r="H67" s="65"/>
      <c r="I67" s="65"/>
      <c r="J67" s="65"/>
      <c r="K67" s="65"/>
      <c r="L67" s="65"/>
      <c r="M67" s="65"/>
      <c r="N67" s="65"/>
      <c r="O67" s="65"/>
      <c r="P67" s="65"/>
      <c r="Q67" s="65"/>
      <c r="R67" s="65"/>
      <c r="S67" s="65"/>
      <c r="T67" s="65"/>
      <c r="U67" s="65"/>
      <c r="V67" s="65"/>
      <c r="W67" s="65"/>
      <c r="X67" s="65"/>
      <c r="Y67" s="65"/>
      <c r="Z67" s="65"/>
    </row>
    <row r="68" spans="1:26" x14ac:dyDescent="0.25">
      <c r="A68" s="65"/>
      <c r="B68" s="65"/>
      <c r="C68" s="65"/>
      <c r="D68" s="65"/>
      <c r="E68" s="65"/>
      <c r="F68" s="65"/>
      <c r="G68" s="65"/>
      <c r="H68" s="65"/>
      <c r="I68" s="65"/>
      <c r="J68" s="65"/>
      <c r="K68" s="65"/>
      <c r="L68" s="65"/>
      <c r="M68" s="65"/>
      <c r="N68" s="65"/>
      <c r="O68" s="65"/>
      <c r="P68" s="65"/>
      <c r="Q68" s="65"/>
      <c r="R68" s="65"/>
      <c r="S68" s="65"/>
      <c r="T68" s="65"/>
      <c r="U68" s="65"/>
      <c r="V68" s="65"/>
      <c r="W68" s="65"/>
      <c r="X68" s="65"/>
      <c r="Y68" s="65"/>
      <c r="Z68" s="65"/>
    </row>
    <row r="69" spans="1:26" x14ac:dyDescent="0.25">
      <c r="A69" s="65"/>
      <c r="B69" s="65"/>
      <c r="C69" s="65"/>
      <c r="D69" s="65"/>
      <c r="E69" s="65"/>
      <c r="F69" s="65"/>
      <c r="G69" s="65"/>
      <c r="H69" s="65"/>
      <c r="I69" s="65"/>
      <c r="J69" s="65"/>
      <c r="K69" s="65"/>
      <c r="L69" s="65"/>
      <c r="M69" s="65"/>
      <c r="N69" s="65"/>
      <c r="O69" s="65"/>
      <c r="P69" s="65"/>
      <c r="Q69" s="65"/>
      <c r="R69" s="65"/>
      <c r="S69" s="65"/>
      <c r="T69" s="65"/>
      <c r="U69" s="65"/>
      <c r="V69" s="65"/>
      <c r="W69" s="65"/>
      <c r="X69" s="65"/>
      <c r="Y69" s="65"/>
      <c r="Z69" s="65"/>
    </row>
    <row r="70" spans="1:26" x14ac:dyDescent="0.25">
      <c r="A70" s="65"/>
      <c r="B70" s="65"/>
      <c r="C70" s="65"/>
      <c r="D70" s="65"/>
      <c r="E70" s="65"/>
      <c r="F70" s="65"/>
      <c r="G70" s="65"/>
      <c r="H70" s="65"/>
      <c r="I70" s="65"/>
      <c r="J70" s="65"/>
      <c r="K70" s="65"/>
      <c r="L70" s="65"/>
      <c r="M70" s="65"/>
      <c r="N70" s="65"/>
      <c r="O70" s="65"/>
      <c r="P70" s="65"/>
      <c r="Q70" s="65"/>
      <c r="R70" s="65"/>
      <c r="S70" s="65"/>
      <c r="T70" s="65"/>
      <c r="U70" s="65"/>
      <c r="V70" s="65"/>
      <c r="W70" s="65"/>
      <c r="X70" s="65"/>
      <c r="Y70" s="65"/>
      <c r="Z70" s="65"/>
    </row>
    <row r="71" spans="1:26" x14ac:dyDescent="0.25">
      <c r="A71" s="65"/>
      <c r="B71" s="65"/>
      <c r="C71" s="65"/>
      <c r="D71" s="65"/>
      <c r="E71" s="65"/>
      <c r="F71" s="65"/>
      <c r="G71" s="65"/>
      <c r="H71" s="65"/>
      <c r="I71" s="65"/>
      <c r="J71" s="65"/>
      <c r="K71" s="65"/>
      <c r="L71" s="65"/>
      <c r="M71" s="65"/>
      <c r="N71" s="65"/>
      <c r="O71" s="65"/>
      <c r="P71" s="65"/>
      <c r="Q71" s="65"/>
      <c r="R71" s="65"/>
      <c r="S71" s="65"/>
      <c r="T71" s="65"/>
      <c r="U71" s="65"/>
      <c r="V71" s="65"/>
      <c r="W71" s="65"/>
      <c r="X71" s="65"/>
      <c r="Y71" s="65"/>
      <c r="Z71" s="65"/>
    </row>
    <row r="72" spans="1:26" x14ac:dyDescent="0.25">
      <c r="A72" s="65"/>
      <c r="B72" s="65"/>
      <c r="C72" s="65"/>
      <c r="D72" s="65"/>
      <c r="E72" s="65"/>
      <c r="F72" s="65"/>
      <c r="G72" s="65"/>
      <c r="H72" s="65"/>
      <c r="I72" s="65"/>
      <c r="J72" s="65"/>
      <c r="K72" s="65"/>
      <c r="L72" s="65"/>
      <c r="M72" s="65"/>
      <c r="N72" s="65"/>
      <c r="O72" s="65"/>
      <c r="P72" s="65"/>
      <c r="Q72" s="65"/>
      <c r="R72" s="65"/>
      <c r="S72" s="65"/>
      <c r="T72" s="65"/>
      <c r="U72" s="65"/>
      <c r="V72" s="65"/>
      <c r="W72" s="65"/>
      <c r="X72" s="65"/>
      <c r="Y72" s="65"/>
      <c r="Z72" s="65"/>
    </row>
    <row r="73" spans="1:26" x14ac:dyDescent="0.25">
      <c r="A73" s="65"/>
      <c r="B73" s="65"/>
      <c r="C73" s="65"/>
      <c r="D73" s="65"/>
      <c r="E73" s="65"/>
      <c r="F73" s="65"/>
      <c r="G73" s="65"/>
      <c r="H73" s="65"/>
      <c r="I73" s="65"/>
      <c r="J73" s="65"/>
      <c r="K73" s="65"/>
      <c r="L73" s="65"/>
      <c r="M73" s="65"/>
      <c r="N73" s="65"/>
      <c r="O73" s="65"/>
      <c r="P73" s="65"/>
      <c r="Q73" s="65"/>
      <c r="R73" s="65"/>
      <c r="S73" s="65"/>
      <c r="T73" s="65"/>
      <c r="U73" s="65"/>
      <c r="V73" s="65"/>
      <c r="W73" s="65"/>
      <c r="X73" s="65"/>
      <c r="Y73" s="65"/>
      <c r="Z73" s="65"/>
    </row>
    <row r="74" spans="1:26" x14ac:dyDescent="0.25">
      <c r="A74" s="65"/>
      <c r="B74" s="65"/>
      <c r="C74" s="65"/>
      <c r="D74" s="65"/>
      <c r="E74" s="65"/>
      <c r="F74" s="65"/>
      <c r="G74" s="65"/>
      <c r="H74" s="65"/>
      <c r="I74" s="65"/>
      <c r="J74" s="65"/>
      <c r="K74" s="65"/>
      <c r="L74" s="65"/>
      <c r="M74" s="65"/>
      <c r="N74" s="65"/>
      <c r="O74" s="65"/>
      <c r="P74" s="65"/>
      <c r="Q74" s="65"/>
      <c r="R74" s="65"/>
      <c r="S74" s="65"/>
      <c r="T74" s="65"/>
      <c r="U74" s="65"/>
      <c r="V74" s="65"/>
      <c r="W74" s="65"/>
      <c r="X74" s="65"/>
      <c r="Y74" s="65"/>
      <c r="Z74" s="65"/>
    </row>
    <row r="75" spans="1:26" x14ac:dyDescent="0.25">
      <c r="A75" s="65"/>
      <c r="B75" s="65"/>
      <c r="C75" s="65"/>
      <c r="D75" s="65"/>
      <c r="E75" s="65"/>
      <c r="F75" s="65"/>
      <c r="G75" s="65"/>
      <c r="H75" s="65"/>
      <c r="I75" s="65"/>
      <c r="J75" s="65"/>
      <c r="K75" s="65"/>
      <c r="L75" s="65"/>
      <c r="M75" s="65"/>
      <c r="N75" s="65"/>
      <c r="O75" s="65"/>
      <c r="P75" s="65"/>
      <c r="Q75" s="65"/>
      <c r="R75" s="65"/>
      <c r="S75" s="65"/>
      <c r="T75" s="65"/>
      <c r="U75" s="65"/>
      <c r="V75" s="65"/>
      <c r="W75" s="65"/>
      <c r="X75" s="65"/>
      <c r="Y75" s="65"/>
      <c r="Z75" s="65"/>
    </row>
    <row r="76" spans="1:26" x14ac:dyDescent="0.25">
      <c r="A76" s="65"/>
      <c r="B76" s="65"/>
      <c r="C76" s="65"/>
      <c r="D76" s="65"/>
      <c r="E76" s="65"/>
      <c r="F76" s="65"/>
      <c r="G76" s="65"/>
      <c r="H76" s="65"/>
      <c r="I76" s="65"/>
      <c r="J76" s="65"/>
      <c r="K76" s="65"/>
      <c r="L76" s="65"/>
      <c r="M76" s="65"/>
      <c r="N76" s="65"/>
      <c r="O76" s="65"/>
      <c r="P76" s="65"/>
      <c r="Q76" s="65"/>
      <c r="R76" s="65"/>
      <c r="S76" s="65"/>
      <c r="T76" s="65"/>
      <c r="U76" s="65"/>
      <c r="V76" s="65"/>
      <c r="W76" s="65"/>
      <c r="X76" s="65"/>
      <c r="Y76" s="65"/>
      <c r="Z76" s="65"/>
    </row>
    <row r="77" spans="1:26" x14ac:dyDescent="0.25">
      <c r="A77" s="65"/>
      <c r="B77" s="65"/>
      <c r="C77" s="65"/>
      <c r="D77" s="65"/>
      <c r="E77" s="65"/>
      <c r="F77" s="65"/>
      <c r="G77" s="65"/>
      <c r="H77" s="65"/>
      <c r="I77" s="65"/>
      <c r="J77" s="65"/>
      <c r="K77" s="65"/>
      <c r="L77" s="65"/>
      <c r="M77" s="65"/>
      <c r="N77" s="65"/>
      <c r="O77" s="65"/>
      <c r="P77" s="65"/>
      <c r="Q77" s="65"/>
      <c r="R77" s="65"/>
      <c r="S77" s="65"/>
      <c r="T77" s="65"/>
      <c r="U77" s="65"/>
      <c r="V77" s="65"/>
      <c r="W77" s="65"/>
      <c r="X77" s="65"/>
      <c r="Y77" s="65"/>
      <c r="Z77" s="65"/>
    </row>
    <row r="78" spans="1:26" x14ac:dyDescent="0.25">
      <c r="A78" s="65"/>
      <c r="B78" s="65"/>
      <c r="C78" s="65"/>
      <c r="D78" s="65"/>
      <c r="E78" s="65"/>
      <c r="F78" s="65"/>
      <c r="G78" s="65"/>
      <c r="H78" s="65"/>
      <c r="I78" s="65"/>
      <c r="J78" s="65"/>
      <c r="K78" s="65"/>
      <c r="L78" s="65"/>
      <c r="M78" s="65"/>
      <c r="N78" s="65"/>
      <c r="O78" s="65"/>
      <c r="P78" s="65"/>
      <c r="Q78" s="65"/>
      <c r="R78" s="65"/>
      <c r="S78" s="65"/>
      <c r="T78" s="65"/>
      <c r="U78" s="65"/>
      <c r="V78" s="65"/>
      <c r="W78" s="65"/>
      <c r="X78" s="65"/>
      <c r="Y78" s="65"/>
      <c r="Z78" s="65"/>
    </row>
    <row r="79" spans="1:26" x14ac:dyDescent="0.25">
      <c r="A79" s="65"/>
      <c r="B79" s="65"/>
      <c r="C79" s="65"/>
      <c r="D79" s="65"/>
      <c r="E79" s="65"/>
      <c r="F79" s="65"/>
      <c r="G79" s="65"/>
      <c r="H79" s="65"/>
      <c r="I79" s="65"/>
      <c r="J79" s="65"/>
      <c r="K79" s="65"/>
      <c r="L79" s="65"/>
      <c r="M79" s="65"/>
      <c r="N79" s="65"/>
      <c r="O79" s="65"/>
      <c r="P79" s="65"/>
      <c r="Q79" s="65"/>
      <c r="R79" s="65"/>
      <c r="S79" s="65"/>
      <c r="T79" s="65"/>
      <c r="U79" s="65"/>
      <c r="V79" s="65"/>
      <c r="W79" s="65"/>
      <c r="X79" s="65"/>
      <c r="Y79" s="65"/>
      <c r="Z79" s="65"/>
    </row>
    <row r="80" spans="1:26" x14ac:dyDescent="0.25">
      <c r="A80" s="65"/>
      <c r="B80" s="65"/>
      <c r="C80" s="65"/>
      <c r="D80" s="65"/>
      <c r="E80" s="65"/>
      <c r="F80" s="65"/>
      <c r="G80" s="65"/>
      <c r="H80" s="65"/>
      <c r="I80" s="65"/>
      <c r="J80" s="65"/>
      <c r="K80" s="65"/>
      <c r="L80" s="65"/>
      <c r="M80" s="65"/>
      <c r="N80" s="65"/>
      <c r="O80" s="65"/>
      <c r="P80" s="65"/>
      <c r="Q80" s="65"/>
      <c r="R80" s="65"/>
      <c r="S80" s="65"/>
      <c r="T80" s="65"/>
      <c r="U80" s="65"/>
      <c r="V80" s="65"/>
      <c r="W80" s="65"/>
      <c r="X80" s="65"/>
      <c r="Y80" s="65"/>
      <c r="Z80" s="65"/>
    </row>
    <row r="81" spans="1:26" x14ac:dyDescent="0.25">
      <c r="A81" s="65"/>
      <c r="B81" s="65"/>
      <c r="C81" s="65"/>
      <c r="D81" s="65"/>
      <c r="E81" s="65"/>
      <c r="F81" s="65"/>
      <c r="G81" s="65"/>
      <c r="H81" s="65"/>
      <c r="I81" s="65"/>
      <c r="J81" s="65"/>
      <c r="K81" s="65"/>
      <c r="L81" s="65"/>
      <c r="M81" s="65"/>
      <c r="N81" s="65"/>
      <c r="O81" s="65"/>
      <c r="P81" s="65"/>
      <c r="Q81" s="65"/>
      <c r="R81" s="65"/>
      <c r="S81" s="65"/>
      <c r="T81" s="65"/>
      <c r="U81" s="65"/>
      <c r="V81" s="65"/>
      <c r="W81" s="65"/>
      <c r="X81" s="65"/>
      <c r="Y81" s="65"/>
      <c r="Z81" s="65"/>
    </row>
    <row r="82" spans="1:26" x14ac:dyDescent="0.25">
      <c r="A82" s="65"/>
      <c r="B82" s="65"/>
      <c r="C82" s="65"/>
      <c r="D82" s="65"/>
      <c r="E82" s="65"/>
      <c r="F82" s="65"/>
      <c r="G82" s="65"/>
      <c r="H82" s="65"/>
      <c r="I82" s="65"/>
      <c r="J82" s="65"/>
      <c r="K82" s="65"/>
      <c r="L82" s="65"/>
      <c r="M82" s="65"/>
      <c r="N82" s="65"/>
      <c r="O82" s="65"/>
      <c r="P82" s="65"/>
      <c r="Q82" s="65"/>
      <c r="R82" s="65"/>
      <c r="S82" s="65"/>
      <c r="T82" s="65"/>
      <c r="U82" s="65"/>
      <c r="V82" s="65"/>
      <c r="W82" s="65"/>
      <c r="X82" s="65"/>
      <c r="Y82" s="65"/>
      <c r="Z82" s="65"/>
    </row>
    <row r="83" spans="1:26" x14ac:dyDescent="0.25">
      <c r="A83" s="65"/>
      <c r="B83" s="65"/>
      <c r="C83" s="65"/>
      <c r="D83" s="65"/>
      <c r="E83" s="65"/>
      <c r="F83" s="65"/>
      <c r="G83" s="65"/>
      <c r="H83" s="65"/>
      <c r="I83" s="65"/>
      <c r="J83" s="65"/>
      <c r="K83" s="65"/>
      <c r="L83" s="65"/>
      <c r="M83" s="65"/>
      <c r="N83" s="65"/>
      <c r="O83" s="65"/>
      <c r="P83" s="65"/>
      <c r="Q83" s="65"/>
      <c r="R83" s="65"/>
      <c r="S83" s="65"/>
      <c r="T83" s="65"/>
      <c r="U83" s="65"/>
      <c r="V83" s="65"/>
      <c r="W83" s="65"/>
      <c r="X83" s="65"/>
      <c r="Y83" s="65"/>
      <c r="Z83" s="65"/>
    </row>
    <row r="84" spans="1:26" x14ac:dyDescent="0.25">
      <c r="A84" s="65"/>
      <c r="B84" s="65"/>
      <c r="C84" s="65"/>
      <c r="D84" s="65"/>
      <c r="E84" s="65"/>
      <c r="F84" s="65"/>
      <c r="G84" s="65"/>
      <c r="H84" s="65"/>
      <c r="I84" s="65"/>
      <c r="J84" s="65"/>
      <c r="K84" s="65"/>
      <c r="L84" s="65"/>
      <c r="M84" s="65"/>
      <c r="N84" s="65"/>
      <c r="O84" s="65"/>
      <c r="P84" s="65"/>
      <c r="Q84" s="65"/>
      <c r="R84" s="65"/>
      <c r="S84" s="65"/>
      <c r="T84" s="65"/>
      <c r="U84" s="65"/>
      <c r="V84" s="65"/>
      <c r="W84" s="65"/>
      <c r="X84" s="65"/>
      <c r="Y84" s="65"/>
      <c r="Z84" s="65"/>
    </row>
    <row r="85" spans="1:26" x14ac:dyDescent="0.25">
      <c r="A85" s="65"/>
      <c r="B85" s="65"/>
      <c r="C85" s="65"/>
      <c r="D85" s="65"/>
      <c r="E85" s="65"/>
      <c r="F85" s="65"/>
      <c r="G85" s="65"/>
      <c r="H85" s="65"/>
      <c r="I85" s="65"/>
      <c r="J85" s="65"/>
      <c r="K85" s="65"/>
      <c r="L85" s="65"/>
      <c r="M85" s="65"/>
      <c r="N85" s="65"/>
      <c r="O85" s="65"/>
      <c r="P85" s="65"/>
      <c r="Q85" s="65"/>
      <c r="R85" s="65"/>
      <c r="S85" s="65"/>
      <c r="T85" s="65"/>
      <c r="U85" s="65"/>
      <c r="V85" s="65"/>
      <c r="W85" s="65"/>
      <c r="X85" s="65"/>
      <c r="Y85" s="65"/>
      <c r="Z85" s="65"/>
    </row>
    <row r="86" spans="1:26" x14ac:dyDescent="0.25">
      <c r="A86" s="65"/>
      <c r="B86" s="65"/>
      <c r="C86" s="65"/>
      <c r="D86" s="65"/>
      <c r="E86" s="65"/>
      <c r="F86" s="65"/>
      <c r="G86" s="65"/>
      <c r="H86" s="65"/>
      <c r="I86" s="65"/>
      <c r="J86" s="65"/>
      <c r="K86" s="65"/>
      <c r="L86" s="65"/>
      <c r="M86" s="65"/>
      <c r="N86" s="65"/>
      <c r="O86" s="65"/>
      <c r="P86" s="65"/>
      <c r="Q86" s="65"/>
      <c r="R86" s="65"/>
      <c r="S86" s="65"/>
      <c r="T86" s="65"/>
      <c r="U86" s="65"/>
      <c r="V86" s="65"/>
      <c r="W86" s="65"/>
      <c r="X86" s="65"/>
      <c r="Y86" s="65"/>
      <c r="Z86" s="65"/>
    </row>
    <row r="87" spans="1:26" x14ac:dyDescent="0.25">
      <c r="A87" s="65"/>
      <c r="B87" s="65"/>
      <c r="C87" s="65"/>
      <c r="D87" s="65"/>
      <c r="E87" s="65"/>
      <c r="F87" s="65"/>
      <c r="G87" s="65"/>
      <c r="H87" s="65"/>
      <c r="I87" s="65"/>
      <c r="J87" s="65"/>
      <c r="K87" s="65"/>
      <c r="L87" s="65"/>
      <c r="M87" s="65"/>
      <c r="N87" s="65"/>
      <c r="O87" s="65"/>
      <c r="P87" s="65"/>
      <c r="Q87" s="65"/>
      <c r="R87" s="65"/>
      <c r="S87" s="65"/>
      <c r="T87" s="65"/>
      <c r="U87" s="65"/>
      <c r="V87" s="65"/>
      <c r="W87" s="65"/>
      <c r="X87" s="65"/>
      <c r="Y87" s="65"/>
      <c r="Z87" s="65"/>
    </row>
  </sheetData>
  <sheetProtection algorithmName="SHA-512" hashValue="4lKj6dDLTwRF678pbc6nUeTqgmf+AcYtj3CJbqBqqPsGDWMOO3t49yTC3DB/5rzDen5GP2i+Xt0NnCjrgvixsA==" saltValue="3cbY9WUEiekB9DLdKX8xEQ==" spinCount="100000" sheet="1" objects="1" scenarios="1"/>
  <hyperlinks>
    <hyperlink ref="A1" location="VRAGENLIJST!A211" display="Klik hier om VRAGENLIJST in te vullen" xr:uid="{00000000-0004-0000-0700-000000000000}"/>
  </hyperlinks>
  <pageMargins left="0.7" right="0.7" top="0.75" bottom="0.75" header="0.3" footer="0.3"/>
  <pageSetup paperSize="9" scale="9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392"/>
  <sheetViews>
    <sheetView zoomScale="85" zoomScaleNormal="85" workbookViewId="0">
      <pane xSplit="1" ySplit="1" topLeftCell="B2" activePane="bottomRight" state="frozen"/>
      <selection pane="topRight" activeCell="B1" sqref="B1"/>
      <selection pane="bottomLeft" activeCell="A2" sqref="A2"/>
      <selection pane="bottomRight" activeCell="A9" sqref="A9"/>
    </sheetView>
  </sheetViews>
  <sheetFormatPr defaultRowHeight="12.75" x14ac:dyDescent="0.2"/>
  <cols>
    <col min="1" max="2" width="75.7109375" style="135" customWidth="1"/>
    <col min="3" max="3" width="114.7109375" style="135" customWidth="1"/>
    <col min="4" max="5" width="75.7109375" style="135" customWidth="1"/>
    <col min="6" max="16384" width="9.140625" style="135"/>
  </cols>
  <sheetData>
    <row r="1" spans="1:5" ht="39" x14ac:dyDescent="0.2">
      <c r="A1" s="2" t="s">
        <v>990</v>
      </c>
      <c r="B1" s="55" t="s">
        <v>1</v>
      </c>
      <c r="C1" s="55" t="s">
        <v>58</v>
      </c>
      <c r="D1" s="55" t="s">
        <v>59</v>
      </c>
      <c r="E1" s="55" t="s">
        <v>60</v>
      </c>
    </row>
    <row r="3" spans="1:5" ht="15" x14ac:dyDescent="0.25">
      <c r="A3" s="146" t="str">
        <f>HLOOKUP(Intro!$B$7,$B:$I,ROW(A3),FALSE)</f>
        <v>Intro</v>
      </c>
      <c r="B3" s="146" t="s">
        <v>61</v>
      </c>
      <c r="C3" s="146" t="s">
        <v>61</v>
      </c>
      <c r="D3" s="146" t="s">
        <v>62</v>
      </c>
      <c r="E3" s="146" t="s">
        <v>63</v>
      </c>
    </row>
    <row r="4" spans="1:5" x14ac:dyDescent="0.2">
      <c r="A4" s="135" t="str">
        <f>HLOOKUP(Intro!$B$7,$B:$I,ROW(A4),FALSE)</f>
        <v>Financieel plan</v>
      </c>
      <c r="B4" s="135" t="s">
        <v>2</v>
      </c>
      <c r="C4" s="135" t="s">
        <v>64</v>
      </c>
      <c r="D4" s="135" t="s">
        <v>65</v>
      </c>
      <c r="E4" s="135" t="s">
        <v>65</v>
      </c>
    </row>
    <row r="5" spans="1:5" ht="38.25" x14ac:dyDescent="0.2">
      <c r="A5" s="135" t="str">
        <f>HLOOKUP(Intro!$B$7,$B:$I,ROW(A5),FALSE)</f>
        <v>Let op! Voordat je verder gaat moet het bestand worden opgeslagen op jouw computer. Dit doe je via Bestand -&gt; Opslaan als, of met F12.</v>
      </c>
      <c r="B5" s="135" t="s">
        <v>1144</v>
      </c>
      <c r="C5" s="135" t="s">
        <v>66</v>
      </c>
      <c r="D5" s="135" t="s">
        <v>67</v>
      </c>
      <c r="E5" s="135" t="s">
        <v>68</v>
      </c>
    </row>
    <row r="6" spans="1:5" x14ac:dyDescent="0.2">
      <c r="A6" s="135" t="str">
        <f>HLOOKUP(Intro!$B$7,$B:$I,ROW(A6),FALSE)</f>
        <v>Introductie</v>
      </c>
      <c r="B6" s="135" t="s">
        <v>4</v>
      </c>
      <c r="C6" s="135" t="s">
        <v>69</v>
      </c>
      <c r="D6" s="135" t="s">
        <v>62</v>
      </c>
      <c r="E6" s="135" t="s">
        <v>63</v>
      </c>
    </row>
    <row r="7" spans="1:5" ht="51" x14ac:dyDescent="0.2">
      <c r="A7" s="135" t="str">
        <f>HLOOKUP(Intro!$B$7,$B:$I,ROW(A7),FALSE)</f>
        <v>Het maken van een financieel plan is een belangrijk onderdeel van je ondernemingsplan, zeker als je een financiering wilt aanvragen. Een compleet financieel plan bestaat minimaal uit onderstaande begrotingen. Klik op de onderstaande begrotingen om ze te bekijken.</v>
      </c>
      <c r="B7" s="135" t="s">
        <v>1181</v>
      </c>
      <c r="C7" s="135" t="s">
        <v>70</v>
      </c>
      <c r="D7" s="135" t="s">
        <v>71</v>
      </c>
      <c r="E7" s="135" t="s">
        <v>72</v>
      </c>
    </row>
    <row r="8" spans="1:5" x14ac:dyDescent="0.2">
      <c r="A8" s="135" t="str">
        <f>HLOOKUP(Intro!$B$7,$B:$I,ROW(A8),FALSE)</f>
        <v xml:space="preserve">    Privébegroting</v>
      </c>
      <c r="B8" s="135" t="s">
        <v>1298</v>
      </c>
      <c r="C8" s="135" t="s">
        <v>1299</v>
      </c>
    </row>
    <row r="9" spans="1:5" x14ac:dyDescent="0.2">
      <c r="A9" s="135" t="str">
        <f>HLOOKUP(Intro!$B$7,$B:$I,ROW(A9),FALSE)</f>
        <v xml:space="preserve">    Investeringsbegroting</v>
      </c>
      <c r="B9" s="135" t="s">
        <v>6</v>
      </c>
      <c r="C9" s="135" t="s">
        <v>1173</v>
      </c>
      <c r="D9" s="135" t="s">
        <v>73</v>
      </c>
      <c r="E9" s="135" t="s">
        <v>74</v>
      </c>
    </row>
    <row r="10" spans="1:5" x14ac:dyDescent="0.2">
      <c r="A10" s="135" t="str">
        <f>HLOOKUP(Intro!$B$7,$B:$I,ROW(A10),FALSE)</f>
        <v xml:space="preserve">    Financieringsbegroting</v>
      </c>
      <c r="B10" s="135" t="s">
        <v>7</v>
      </c>
      <c r="C10" s="135" t="s">
        <v>1174</v>
      </c>
      <c r="D10" s="135" t="s">
        <v>75</v>
      </c>
      <c r="E10" s="135" t="s">
        <v>76</v>
      </c>
    </row>
    <row r="11" spans="1:5" x14ac:dyDescent="0.2">
      <c r="A11" s="135" t="str">
        <f>HLOOKUP(Intro!$B$7,$B:$I,ROW(A11),FALSE)</f>
        <v xml:space="preserve">    Exploitatiebegroting</v>
      </c>
      <c r="B11" s="135" t="s">
        <v>8</v>
      </c>
      <c r="C11" s="135" t="s">
        <v>1175</v>
      </c>
      <c r="D11" s="135" t="s">
        <v>77</v>
      </c>
      <c r="E11" s="135" t="s">
        <v>78</v>
      </c>
    </row>
    <row r="12" spans="1:5" x14ac:dyDescent="0.2">
      <c r="A12" s="135" t="str">
        <f>HLOOKUP(Intro!$B$7,$B:$I,ROW(A12),FALSE)</f>
        <v xml:space="preserve">    Liquiditeitsbegroting</v>
      </c>
      <c r="B12" s="135" t="s">
        <v>9</v>
      </c>
      <c r="C12" s="135" t="s">
        <v>1176</v>
      </c>
      <c r="D12" s="135" t="s">
        <v>79</v>
      </c>
      <c r="E12" s="135" t="s">
        <v>80</v>
      </c>
    </row>
    <row r="13" spans="1:5" x14ac:dyDescent="0.2">
      <c r="A13" s="135" t="str">
        <f>HLOOKUP(Intro!$B$7,$B:$I,ROW(A13),FALSE)</f>
        <v>Hoe in te vullen?</v>
      </c>
      <c r="B13" s="135" t="s">
        <v>10</v>
      </c>
      <c r="C13" s="135" t="s">
        <v>81</v>
      </c>
      <c r="D13" s="135" t="s">
        <v>82</v>
      </c>
      <c r="E13" s="135" t="s">
        <v>83</v>
      </c>
    </row>
    <row r="14" spans="1:5" ht="165.75" x14ac:dyDescent="0.2">
      <c r="A14" s="135" t="str">
        <f>HLOOKUP(Intro!$B$7,$B:$I,ROW(A14),FALSE)</f>
        <v>Dit format helpt je met het opstellen van de begrotingen. 
Het opstellen van dit financieel plan doe je door het beantwoorden van de vragen die worden gesteld op het tabblad VRAGENLIJST. Bij de meeste vragen moet je een bedrag invullen, bij andere vragen moet je een getal of onderdeel selecteren uit een lijst. Door het beantwoorden van de vragenlijst, worden de financiële overzichten automatisch ingevuld en doorgerekend. Deze overzichten zijn te vinden op de blauwgekleurden tabbladen. Deze tabbladen zijn niet in te vullen of te wijzigen. 
Als je een wijziging wilt aanbrengen doe je dat door de lichtblauwe cellen in de vragenlijst te wijzigen! De overige cellen zijn vergrendeld met een wachtwoord. Dit wachtwoord is niet nodig voor het invullen van het plan en wordt ook niet vrijgegeven. Qredits wil namelijk niet dat het sjabloon wordt aangepast.</v>
      </c>
      <c r="B14" s="135" t="s">
        <v>1145</v>
      </c>
      <c r="C14" s="135" t="s">
        <v>1092</v>
      </c>
      <c r="D14" s="135" t="s">
        <v>84</v>
      </c>
      <c r="E14" s="135" t="s">
        <v>85</v>
      </c>
    </row>
    <row r="15" spans="1:5" ht="25.5" x14ac:dyDescent="0.2">
      <c r="A15" s="135" t="str">
        <f>HLOOKUP(Intro!$B$7,$B:$I,ROW(A15),FALSE)</f>
        <v>Het opstellen van dit financieel plan doe je door het beantwoorden van de vragen die worden gesteld op het tabblad VRAGENLIJST.</v>
      </c>
      <c r="B15" s="135" t="s">
        <v>1146</v>
      </c>
      <c r="C15" s="135" t="s">
        <v>1177</v>
      </c>
      <c r="D15" s="135" t="s">
        <v>86</v>
      </c>
      <c r="E15" s="135" t="s">
        <v>87</v>
      </c>
    </row>
    <row r="16" spans="1:5" ht="25.5" x14ac:dyDescent="0.2">
      <c r="A16" s="135" t="str">
        <f>HLOOKUP(Intro!$B$7,$B:$I,ROW(A16),FALSE)</f>
        <v>Bij de meeste vragen moet je een bedrag invullen, bij andere vragen moet een getal of onderdeel selecteren uit een lijst.</v>
      </c>
      <c r="B16" s="135" t="s">
        <v>13</v>
      </c>
      <c r="C16" s="135" t="s">
        <v>88</v>
      </c>
      <c r="D16" s="135" t="s">
        <v>89</v>
      </c>
      <c r="E16" s="135" t="s">
        <v>90</v>
      </c>
    </row>
    <row r="17" spans="1:8" ht="25.5" x14ac:dyDescent="0.2">
      <c r="A17" s="135" t="str">
        <f>HLOOKUP(Intro!$B$7,$B:$I,ROW(A17),FALSE)</f>
        <v>Door het beantwoorden van de vragenlijst, worden de financiële overzichten automatisch ingevuld en doorgerekend.</v>
      </c>
      <c r="B17" s="135" t="s">
        <v>14</v>
      </c>
      <c r="C17" s="135" t="s">
        <v>91</v>
      </c>
      <c r="D17" s="135" t="s">
        <v>92</v>
      </c>
      <c r="E17" s="135" t="s">
        <v>93</v>
      </c>
    </row>
    <row r="18" spans="1:8" ht="38.25" x14ac:dyDescent="0.2">
      <c r="A18" s="135" t="str">
        <f>HLOOKUP(Intro!$B$7,$B:$I,ROW(A18),FALSE)</f>
        <v>Deze overzichten zijn te vinden op de blauwgekleurden tabbladen. Deze tabbladen zijn niet in te vullen of te wijzigen. Als je een wijziging wilt aanbrengen doe je dat door de lichtblauwe cellen in de vragenlijst te wijzigen!</v>
      </c>
      <c r="B18" s="135" t="s">
        <v>1147</v>
      </c>
      <c r="C18" s="135" t="s">
        <v>94</v>
      </c>
      <c r="D18" s="135" t="s">
        <v>95</v>
      </c>
      <c r="E18" s="135" t="s">
        <v>96</v>
      </c>
    </row>
    <row r="19" spans="1:8" x14ac:dyDescent="0.2">
      <c r="A19" s="135" t="str">
        <f>HLOOKUP(Intro!$B$7,$B:$I,ROW(A19),FALSE)</f>
        <v>Printen</v>
      </c>
      <c r="B19" s="135" t="s">
        <v>1114</v>
      </c>
      <c r="C19" s="135" t="s">
        <v>1178</v>
      </c>
      <c r="D19" s="135" t="s">
        <v>97</v>
      </c>
      <c r="E19" s="135" t="s">
        <v>98</v>
      </c>
    </row>
    <row r="20" spans="1:8" ht="25.5" x14ac:dyDescent="0.2">
      <c r="A20" s="135" t="str">
        <f>HLOOKUP(Intro!$B$7,$B:$I,ROW(A20),FALSE)</f>
        <v>Je kunt het gehele financieel plan in één keer printen door linksbovenin op 'Bestand' te klikken.</v>
      </c>
      <c r="B20" s="135" t="s">
        <v>1199</v>
      </c>
      <c r="C20" s="135" t="s">
        <v>1179</v>
      </c>
      <c r="D20" s="135" t="s">
        <v>99</v>
      </c>
      <c r="E20" s="135" t="s">
        <v>100</v>
      </c>
    </row>
    <row r="21" spans="1:8" x14ac:dyDescent="0.2">
      <c r="A21" s="135" t="str">
        <f>HLOOKUP(Intro!$B$7,$B:$I,ROW(A21),FALSE)</f>
        <v>Financieringsaanvraag</v>
      </c>
      <c r="B21" s="135" t="s">
        <v>21</v>
      </c>
      <c r="C21" s="135" t="s">
        <v>101</v>
      </c>
      <c r="D21" s="135" t="s">
        <v>102</v>
      </c>
      <c r="E21" s="135" t="s">
        <v>103</v>
      </c>
    </row>
    <row r="22" spans="1:8" ht="25.5" x14ac:dyDescent="0.2">
      <c r="A22" s="135" t="str">
        <f>HLOOKUP(Intro!$B$7,$B:$I,ROW(A22),FALSE)</f>
        <v>Je kunt dit financieel plan gebruiken voor een kredietaanvraag bij Qredits. Kijk voor meer informatie over onze zakelijke kredieten op:</v>
      </c>
      <c r="B22" s="135" t="s">
        <v>1182</v>
      </c>
      <c r="C22" s="135" t="s">
        <v>1093</v>
      </c>
      <c r="D22" s="135" t="s">
        <v>104</v>
      </c>
      <c r="E22" s="135" t="s">
        <v>105</v>
      </c>
    </row>
    <row r="23" spans="1:8" ht="21" x14ac:dyDescent="0.2">
      <c r="A23" s="135" t="str">
        <f>HLOOKUP(Intro!$B$7,$B:$I,ROW(A23),FALSE)</f>
        <v>https://qredits.nl/zakelijk-krediet</v>
      </c>
      <c r="B23" s="138" t="s">
        <v>1148</v>
      </c>
      <c r="C23" s="138" t="s">
        <v>1148</v>
      </c>
      <c r="D23" s="138" t="s">
        <v>24</v>
      </c>
      <c r="E23" s="138" t="s">
        <v>24</v>
      </c>
    </row>
    <row r="24" spans="1:8" ht="76.5" x14ac:dyDescent="0.2">
      <c r="A24" s="135" t="str">
        <f>HLOOKUP(Intro!$B$7,$B:$I,ROW(A24),FALSE)</f>
        <v xml:space="preserve">Disclaimer: Qredits draagt er zorg voor om de inhoud van deze module regelmatig bij te werken of toevoegingen hieraan te maken. Desalniettemin is Qredits niet aansprakelijk voor onjuistheden of onvolledigheden in de aangeboden inhoud. Qredits is op geen enkele wijze aansprakelijk voor schade voortvloeiend uit het gebruik van deze module. Het is de gebruiker slechts toegestaan om de module voor eigen gebruik op te slaan, af te drukken en te kopiëren.  </v>
      </c>
      <c r="B24" s="135" t="s">
        <v>1149</v>
      </c>
      <c r="C24" s="135" t="s">
        <v>106</v>
      </c>
      <c r="D24" s="135" t="s">
        <v>107</v>
      </c>
      <c r="E24" s="135" t="s">
        <v>108</v>
      </c>
    </row>
    <row r="26" spans="1:8" ht="15" x14ac:dyDescent="0.25">
      <c r="A26" s="146" t="str">
        <f>HLOOKUP(Intro!$B$7,$B:$I,ROW(A26),FALSE)</f>
        <v>VRAGENLIJST</v>
      </c>
      <c r="B26" s="146" t="s">
        <v>109</v>
      </c>
      <c r="C26" s="146" t="s">
        <v>110</v>
      </c>
      <c r="D26" s="146" t="s">
        <v>111</v>
      </c>
      <c r="E26" s="146" t="s">
        <v>112</v>
      </c>
      <c r="F26" s="146"/>
      <c r="G26" s="146"/>
      <c r="H26" s="146"/>
    </row>
    <row r="27" spans="1:8" x14ac:dyDescent="0.2">
      <c r="A27" s="135" t="str">
        <f>HLOOKUP(Intro!$B$7,$B:$I,ROW(A27),FALSE)</f>
        <v>Vragenlijst financieel plan</v>
      </c>
      <c r="B27" s="135" t="s">
        <v>113</v>
      </c>
      <c r="C27" s="135" t="s">
        <v>114</v>
      </c>
      <c r="D27" s="135" t="s">
        <v>115</v>
      </c>
      <c r="E27" s="135" t="s">
        <v>116</v>
      </c>
    </row>
    <row r="28" spans="1:8" x14ac:dyDescent="0.2">
      <c r="A28" s="135" t="str">
        <f>HLOOKUP(Intro!$B$7,$B:$I,ROW(A28),FALSE)</f>
        <v>Om mee te beginnen…</v>
      </c>
      <c r="B28" s="135" t="s">
        <v>1150</v>
      </c>
      <c r="C28" s="135" t="s">
        <v>1180</v>
      </c>
    </row>
    <row r="29" spans="1:8" x14ac:dyDescent="0.2">
      <c r="A29" s="135" t="str">
        <f>HLOOKUP(Intro!$B$7,$B:$I,ROW(A29),FALSE)</f>
        <v>Welke rechtsvorm heeft je bedrijf?</v>
      </c>
      <c r="B29" s="135" t="s">
        <v>117</v>
      </c>
      <c r="C29" s="135" t="s">
        <v>118</v>
      </c>
    </row>
    <row r="30" spans="1:8" x14ac:dyDescent="0.2">
      <c r="A30" s="135" t="str">
        <f>HLOOKUP(Intro!$B$7,$B:$I,ROW(A30),FALSE)</f>
        <v>Uit hoeveel ondernemers bestaat het bedrijf?</v>
      </c>
      <c r="B30" s="135" t="s">
        <v>1151</v>
      </c>
      <c r="C30" s="135" t="s">
        <v>119</v>
      </c>
    </row>
    <row r="31" spans="1:8" x14ac:dyDescent="0.2">
      <c r="A31" s="135" t="str">
        <f>HLOOKUP(Intro!$B$7,$B:$I,ROW(A31),FALSE)</f>
        <v>Antwoord:</v>
      </c>
      <c r="B31" s="135" t="s">
        <v>120</v>
      </c>
      <c r="C31" s="135" t="s">
        <v>121</v>
      </c>
    </row>
    <row r="32" spans="1:8" x14ac:dyDescent="0.2">
      <c r="A32" s="135" t="str">
        <f>HLOOKUP(Intro!$B$7,$B:$I,ROW(A32),FALSE)</f>
        <v>selecteer:</v>
      </c>
      <c r="B32" s="135" t="s">
        <v>408</v>
      </c>
      <c r="C32" s="135" t="s">
        <v>122</v>
      </c>
    </row>
    <row r="33" spans="1:11" x14ac:dyDescent="0.2">
      <c r="A33" s="135" t="str">
        <f>HLOOKUP(Intro!$B$7,$B:$I,ROW(A33),FALSE)</f>
        <v>Kies voor 'Twee' of 'Meer'.</v>
      </c>
      <c r="B33" s="135" t="s">
        <v>1090</v>
      </c>
      <c r="C33" s="135" t="s">
        <v>1091</v>
      </c>
    </row>
    <row r="34" spans="1:11" x14ac:dyDescent="0.2">
      <c r="A34" s="135" t="str">
        <f>HLOOKUP(Intro!$B$7,$B:$I,ROW(A34),FALSE)</f>
        <v>vul bedrag in:</v>
      </c>
      <c r="B34" s="135" t="s">
        <v>38</v>
      </c>
      <c r="C34" s="135" t="s">
        <v>1100</v>
      </c>
      <c r="D34" s="135" t="s">
        <v>410</v>
      </c>
      <c r="E34" s="135" t="s">
        <v>411</v>
      </c>
    </row>
    <row r="35" spans="1:11" x14ac:dyDescent="0.2">
      <c r="A35" s="135" t="str">
        <f>HLOOKUP(Intro!$B$7,$B:$I,ROW(A35),FALSE)</f>
        <v>vul nettobedrag in:</v>
      </c>
      <c r="B35" s="135" t="s">
        <v>1099</v>
      </c>
      <c r="C35" s="135" t="s">
        <v>1102</v>
      </c>
    </row>
    <row r="36" spans="1:11" x14ac:dyDescent="0.2">
      <c r="A36" s="135" t="str">
        <f>HLOOKUP(Intro!$B$7,$B:$I,ROW(A36),FALSE)</f>
        <v>vul perc. in:</v>
      </c>
      <c r="B36" s="135" t="s">
        <v>1152</v>
      </c>
      <c r="C36" s="135" t="s">
        <v>1101</v>
      </c>
      <c r="D36" s="135" t="s">
        <v>410</v>
      </c>
      <c r="E36" s="135" t="s">
        <v>411</v>
      </c>
      <c r="F36" s="136"/>
    </row>
    <row r="37" spans="1:11" x14ac:dyDescent="0.2">
      <c r="A37" s="135" t="str">
        <f>HLOOKUP(Intro!$B$7,$B:$I,ROW(A37),FALSE)</f>
        <v>is berekend:</v>
      </c>
      <c r="B37" s="135" t="s">
        <v>125</v>
      </c>
      <c r="C37" s="135" t="s">
        <v>1103</v>
      </c>
      <c r="D37" s="135" t="s">
        <v>412</v>
      </c>
      <c r="E37" s="135" t="s">
        <v>413</v>
      </c>
      <c r="F37" s="136"/>
    </row>
    <row r="38" spans="1:11" ht="25.5" x14ac:dyDescent="0.2">
      <c r="A38" s="135" t="str">
        <f>HLOOKUP(Intro!$B$7,$B:$I,ROW(A38),FALSE)</f>
        <v>Vul de antwoorden op de privévragen voor beide ondernemers apart in. (Man/vrouw kan ook gezamenlijk)</v>
      </c>
      <c r="B38" s="135" t="s">
        <v>1154</v>
      </c>
      <c r="C38" s="135" t="s">
        <v>1037</v>
      </c>
      <c r="F38" s="136"/>
      <c r="G38" s="136"/>
      <c r="H38" s="136"/>
      <c r="I38" s="136"/>
      <c r="J38" s="136"/>
      <c r="K38" s="136"/>
    </row>
    <row r="39" spans="1:11" ht="25.5" x14ac:dyDescent="0.2">
      <c r="A39" s="135" t="str">
        <f>HLOOKUP(Intro!$B$7,$B:$I,ROW(A39),FALSE)</f>
        <v>Vul de antwoorden op de privévragen voor max. twee ondernemers apart in. (Man/vrouw kan ook gezamenlijk)</v>
      </c>
      <c r="B39" s="135" t="s">
        <v>1153</v>
      </c>
      <c r="C39" s="135" t="s">
        <v>1038</v>
      </c>
    </row>
    <row r="40" spans="1:11" x14ac:dyDescent="0.2">
      <c r="A40" s="135" t="str">
        <f>HLOOKUP(Intro!$B$7,$B:$I,ROW(A40),FALSE)</f>
        <v>Vul de antwoorden op de privévragen in bij kolom F.</v>
      </c>
      <c r="B40" s="135" t="s">
        <v>1155</v>
      </c>
      <c r="C40" s="135" t="s">
        <v>1039</v>
      </c>
    </row>
    <row r="41" spans="1:11" x14ac:dyDescent="0.2">
      <c r="A41" s="135" t="str">
        <f>HLOOKUP(Intro!$B$7,$B:$I,ROW(A41),FALSE)</f>
        <v>Ondernemer:</v>
      </c>
      <c r="B41" s="135" t="s">
        <v>991</v>
      </c>
      <c r="C41" s="135" t="s">
        <v>994</v>
      </c>
    </row>
    <row r="42" spans="1:11" x14ac:dyDescent="0.2">
      <c r="A42" s="135" t="str">
        <f>HLOOKUP(Intro!$B$7,$B:$I,ROW(A42),FALSE)</f>
        <v>1e ondernemer:</v>
      </c>
      <c r="B42" s="135" t="s">
        <v>992</v>
      </c>
      <c r="C42" s="135" t="s">
        <v>995</v>
      </c>
    </row>
    <row r="43" spans="1:11" x14ac:dyDescent="0.2">
      <c r="A43" s="135" t="str">
        <f>HLOOKUP(Intro!$B$7,$B:$I,ROW(A43),FALSE)</f>
        <v>2e ondernemer:</v>
      </c>
      <c r="B43" s="135" t="s">
        <v>993</v>
      </c>
      <c r="C43" s="135" t="s">
        <v>996</v>
      </c>
    </row>
    <row r="44" spans="1:11" x14ac:dyDescent="0.2">
      <c r="A44" s="135" t="str">
        <f>HLOOKUP(Intro!$B$7,$B:$I,ROW(A44),FALSE)</f>
        <v>Wat is de winstverdeling?</v>
      </c>
      <c r="B44" s="135" t="s">
        <v>123</v>
      </c>
      <c r="C44" s="135" t="s">
        <v>124</v>
      </c>
    </row>
    <row r="45" spans="1:11" x14ac:dyDescent="0.2">
      <c r="A45" s="135" t="str">
        <f>HLOOKUP(Intro!$B$7,$B:$I,ROW(A45),FALSE)</f>
        <v>Privé-inkomsten (maandelijks)</v>
      </c>
      <c r="B45" s="135" t="s">
        <v>126</v>
      </c>
      <c r="C45" s="135" t="s">
        <v>127</v>
      </c>
      <c r="D45" s="135" t="s">
        <v>128</v>
      </c>
      <c r="E45" s="135" t="s">
        <v>129</v>
      </c>
    </row>
    <row r="46" spans="1:11" ht="25.5" x14ac:dyDescent="0.2">
      <c r="A46" s="135" t="str">
        <f>HLOOKUP(Intro!$B$7,$B:$I,ROW(A46),FALSE)</f>
        <v>Hoeveel salaris (uit loondienstverband) krijg je maandelijks op je rekening gestort?</v>
      </c>
      <c r="B46" s="135" t="s">
        <v>130</v>
      </c>
      <c r="C46" s="135" t="s">
        <v>131</v>
      </c>
      <c r="D46" s="135" t="s">
        <v>132</v>
      </c>
      <c r="E46" s="135" t="s">
        <v>133</v>
      </c>
    </row>
    <row r="47" spans="1:11" x14ac:dyDescent="0.2">
      <c r="A47" s="135" t="str">
        <f>HLOOKUP(Intro!$B$7,$B:$I,ROW(A47),FALSE)</f>
        <v>Hoeveel van dat salaris ontvang je nog als je jouw bedrijf hebt opgestart?</v>
      </c>
      <c r="B47" s="135" t="s">
        <v>134</v>
      </c>
      <c r="C47" s="135" t="s">
        <v>135</v>
      </c>
      <c r="D47" s="135" t="s">
        <v>136</v>
      </c>
      <c r="E47" s="135" t="s">
        <v>137</v>
      </c>
    </row>
    <row r="48" spans="1:11" ht="25.5" x14ac:dyDescent="0.2">
      <c r="A48" s="135" t="str">
        <f>HLOOKUP(Intro!$B$7,$B:$I,ROW(A48),FALSE)</f>
        <v>Als je een (tijdelijke) uitkering of overig inkomen ontvangt, hoe hoog is deze dan per maand?</v>
      </c>
      <c r="B48" s="135" t="s">
        <v>1156</v>
      </c>
      <c r="C48" s="135" t="s">
        <v>1059</v>
      </c>
      <c r="D48" s="135" t="s">
        <v>138</v>
      </c>
      <c r="E48" s="135" t="s">
        <v>139</v>
      </c>
    </row>
    <row r="49" spans="1:11" x14ac:dyDescent="0.2">
      <c r="A49" s="135" t="str">
        <f>HLOOKUP(Intro!$B$7,$B:$I,ROW(A49),FALSE)</f>
        <v>Hoelang loopt deze uitkering of dit overige inkomen door na de start van jouw bedrijf?</v>
      </c>
      <c r="B49" s="135" t="s">
        <v>1157</v>
      </c>
      <c r="C49" s="135" t="s">
        <v>1060</v>
      </c>
      <c r="D49" s="135" t="s">
        <v>140</v>
      </c>
      <c r="E49" s="135" t="s">
        <v>141</v>
      </c>
    </row>
    <row r="50" spans="1:11" x14ac:dyDescent="0.2">
      <c r="A50" s="135" t="str">
        <f>HLOOKUP(Intro!$B$7,$B:$I,ROW(A50),FALSE)</f>
        <v>Hoe hoog zijn de toeslagen (zoals kind-, zorg- en huurtoeslag) per maand?</v>
      </c>
      <c r="B50" s="135" t="s">
        <v>1158</v>
      </c>
      <c r="C50" s="135" t="s">
        <v>142</v>
      </c>
    </row>
    <row r="51" spans="1:11" x14ac:dyDescent="0.2">
      <c r="A51" s="135" t="str">
        <f>HLOOKUP(Intro!$B$7,$B:$I,ROW(A51),FALSE)</f>
        <v>Heb je een levenspartner met inkomen (uit loondienstverband of uitkering)?</v>
      </c>
      <c r="B51" s="135" t="s">
        <v>1061</v>
      </c>
      <c r="C51" s="135" t="s">
        <v>1062</v>
      </c>
      <c r="D51" s="135" t="s">
        <v>143</v>
      </c>
      <c r="E51" s="135" t="s">
        <v>144</v>
      </c>
    </row>
    <row r="52" spans="1:11" s="136" customFormat="1" x14ac:dyDescent="0.2">
      <c r="A52" s="135" t="str">
        <f>HLOOKUP(Intro!$B$7,$B:$I,ROW(A52),FALSE)</f>
        <v>Hoe hoog is dit inkomen per maand?</v>
      </c>
      <c r="B52" s="135" t="s">
        <v>1159</v>
      </c>
      <c r="C52" s="135" t="s">
        <v>997</v>
      </c>
      <c r="D52" s="135" t="s">
        <v>1012</v>
      </c>
      <c r="E52" s="135" t="s">
        <v>1013</v>
      </c>
      <c r="F52" s="135"/>
      <c r="G52" s="135"/>
      <c r="H52" s="135"/>
      <c r="I52" s="135"/>
      <c r="J52" s="135"/>
      <c r="K52" s="135"/>
    </row>
    <row r="53" spans="1:11" s="136" customFormat="1" x14ac:dyDescent="0.2">
      <c r="A53" s="135" t="str">
        <f>HLOOKUP(Intro!$B$7,$B:$I,ROW(A53),FALSE)</f>
        <v>Hoeveel van dit inkomen ontvangt je partner nog als je jouw bedrijf hebt opgestart?</v>
      </c>
      <c r="B53" s="135" t="s">
        <v>1160</v>
      </c>
      <c r="C53" s="135" t="s">
        <v>998</v>
      </c>
      <c r="D53" s="135" t="s">
        <v>1014</v>
      </c>
      <c r="E53" s="135" t="s">
        <v>1015</v>
      </c>
      <c r="F53" s="135"/>
      <c r="G53" s="135"/>
      <c r="H53" s="135"/>
      <c r="I53" s="135"/>
      <c r="J53" s="135"/>
      <c r="K53" s="135"/>
    </row>
    <row r="54" spans="1:11" x14ac:dyDescent="0.2">
      <c r="A54" s="135" t="str">
        <f>HLOOKUP(Intro!$B$7,$B:$I,ROW(A54),FALSE)</f>
        <v>Totaal gezamenlijk maandinkomen op dit moment:</v>
      </c>
      <c r="B54" s="135" t="s">
        <v>1161</v>
      </c>
      <c r="C54" s="135" t="s">
        <v>145</v>
      </c>
      <c r="D54" s="135" t="s">
        <v>146</v>
      </c>
      <c r="E54" s="135" t="s">
        <v>147</v>
      </c>
    </row>
    <row r="55" spans="1:11" x14ac:dyDescent="0.2">
      <c r="A55" s="135" t="str">
        <f>HLOOKUP(Intro!$B$7,$B:$I,ROW(A55),FALSE)</f>
        <v>Totaal gezamenlijk maandinkomen wanneer je bedrijf is opgestart:</v>
      </c>
      <c r="B55" s="135" t="s">
        <v>1162</v>
      </c>
      <c r="C55" s="135" t="s">
        <v>148</v>
      </c>
      <c r="D55" s="135" t="s">
        <v>149</v>
      </c>
      <c r="E55" s="135" t="s">
        <v>150</v>
      </c>
    </row>
    <row r="56" spans="1:11" x14ac:dyDescent="0.2">
      <c r="A56" s="135" t="str">
        <f>HLOOKUP(Intro!$B$7,$B:$I,ROW(A56),FALSE)</f>
        <v>Privé-uitgaven (maandelijks)</v>
      </c>
      <c r="B56" s="135" t="s">
        <v>151</v>
      </c>
      <c r="C56" s="135" t="s">
        <v>152</v>
      </c>
      <c r="D56" s="135" t="s">
        <v>153</v>
      </c>
      <c r="E56" s="135" t="s">
        <v>154</v>
      </c>
    </row>
    <row r="57" spans="1:11" x14ac:dyDescent="0.2">
      <c r="A57" s="135" t="str">
        <f>HLOOKUP(Intro!$B$7,$B:$I,ROW(A57),FALSE)</f>
        <v>Hoeveel geef je maandelijks privé uit?</v>
      </c>
      <c r="B57" s="135" t="s">
        <v>1163</v>
      </c>
      <c r="C57" s="135" t="s">
        <v>155</v>
      </c>
      <c r="D57" s="135" t="s">
        <v>156</v>
      </c>
      <c r="E57" s="135" t="s">
        <v>157</v>
      </c>
    </row>
    <row r="58" spans="1:11" x14ac:dyDescent="0.2">
      <c r="A58" s="135" t="str">
        <f>HLOOKUP(Intro!$B$7,$B:$I,ROW(A58),FALSE)</f>
        <v>Huur woonhuis</v>
      </c>
      <c r="B58" s="135" t="s">
        <v>158</v>
      </c>
      <c r="C58" s="135" t="s">
        <v>159</v>
      </c>
      <c r="D58" s="135" t="s">
        <v>160</v>
      </c>
      <c r="E58" s="135" t="s">
        <v>161</v>
      </c>
    </row>
    <row r="59" spans="1:11" x14ac:dyDescent="0.2">
      <c r="A59" s="135" t="str">
        <f>HLOOKUP(Intro!$B$7,$B:$I,ROW(A59),FALSE)</f>
        <v>Aflossing en rente hypotheek (netto)</v>
      </c>
      <c r="B59" s="135" t="s">
        <v>162</v>
      </c>
      <c r="C59" s="135" t="s">
        <v>163</v>
      </c>
      <c r="D59" s="135" t="s">
        <v>164</v>
      </c>
      <c r="E59" s="135" t="s">
        <v>165</v>
      </c>
    </row>
    <row r="60" spans="1:11" x14ac:dyDescent="0.2">
      <c r="A60" s="135" t="str">
        <f>HLOOKUP(Intro!$B$7,$B:$I,ROW(A60),FALSE)</f>
        <v>Gas, water en elektriciteit</v>
      </c>
      <c r="B60" s="135" t="s">
        <v>166</v>
      </c>
      <c r="C60" s="135" t="s">
        <v>167</v>
      </c>
      <c r="D60" s="135" t="s">
        <v>168</v>
      </c>
      <c r="E60" s="135" t="s">
        <v>169</v>
      </c>
    </row>
    <row r="61" spans="1:11" x14ac:dyDescent="0.2">
      <c r="A61" s="135" t="str">
        <f>HLOOKUP(Intro!$B$7,$B:$I,ROW(A61),FALSE)</f>
        <v>Duurzame consumptiegoederen</v>
      </c>
      <c r="B61" s="135" t="s">
        <v>170</v>
      </c>
      <c r="C61" s="135" t="s">
        <v>171</v>
      </c>
      <c r="D61" s="135" t="s">
        <v>172</v>
      </c>
      <c r="E61" s="135" t="s">
        <v>173</v>
      </c>
    </row>
    <row r="62" spans="1:11" x14ac:dyDescent="0.2">
      <c r="A62" s="135" t="str">
        <f>HLOOKUP(Intro!$B$7,$B:$I,ROW(A62),FALSE)</f>
        <v>Ziektekostenverzekering</v>
      </c>
      <c r="B62" s="135" t="s">
        <v>174</v>
      </c>
      <c r="C62" s="135" t="s">
        <v>175</v>
      </c>
      <c r="D62" s="135" t="s">
        <v>176</v>
      </c>
      <c r="E62" s="135" t="s">
        <v>177</v>
      </c>
    </row>
    <row r="63" spans="1:11" x14ac:dyDescent="0.2">
      <c r="A63" s="135" t="str">
        <f>HLOOKUP(Intro!$B$7,$B:$I,ROW(A63),FALSE)</f>
        <v>Overige verzekeringen (inboedel, WA, e.d.)</v>
      </c>
      <c r="B63" s="135" t="s">
        <v>1117</v>
      </c>
      <c r="C63" s="135" t="s">
        <v>178</v>
      </c>
      <c r="D63" s="135" t="s">
        <v>179</v>
      </c>
      <c r="E63" s="135" t="s">
        <v>180</v>
      </c>
    </row>
    <row r="64" spans="1:11" x14ac:dyDescent="0.2">
      <c r="A64" s="135" t="str">
        <f>HLOOKUP(Intro!$B$7,$B:$I,ROW(A64),FALSE)</f>
        <v>Vervoer (brandstof, onderhoud, abonnement)</v>
      </c>
      <c r="B64" s="135" t="s">
        <v>1118</v>
      </c>
      <c r="C64" s="135" t="s">
        <v>181</v>
      </c>
      <c r="D64" s="135" t="s">
        <v>182</v>
      </c>
      <c r="E64" s="135" t="s">
        <v>183</v>
      </c>
    </row>
    <row r="65" spans="1:5" x14ac:dyDescent="0.2">
      <c r="A65" s="135" t="str">
        <f>HLOOKUP(Intro!$B$7,$B:$I,ROW(A65),FALSE)</f>
        <v>Huishoudelijke uitgaven (voeding, kleding, sport)</v>
      </c>
      <c r="B65" s="135" t="s">
        <v>1183</v>
      </c>
      <c r="C65" s="135" t="s">
        <v>184</v>
      </c>
      <c r="D65" s="135" t="s">
        <v>185</v>
      </c>
      <c r="E65" s="135" t="s">
        <v>186</v>
      </c>
    </row>
    <row r="66" spans="1:5" x14ac:dyDescent="0.2">
      <c r="A66" s="135" t="str">
        <f>HLOOKUP(Intro!$B$7,$B:$I,ROW(A66),FALSE)</f>
        <v>Vakantie en recreatie</v>
      </c>
      <c r="B66" s="135" t="s">
        <v>187</v>
      </c>
      <c r="C66" s="135" t="s">
        <v>188</v>
      </c>
      <c r="D66" s="135" t="s">
        <v>189</v>
      </c>
      <c r="E66" s="135" t="s">
        <v>190</v>
      </c>
    </row>
    <row r="67" spans="1:5" x14ac:dyDescent="0.2">
      <c r="A67" s="135" t="str">
        <f>HLOOKUP(Intro!$B$7,$B:$I,ROW(A67),FALSE)</f>
        <v>Opleiding, studiekosten en opvang kinderen</v>
      </c>
      <c r="B67" s="135" t="s">
        <v>191</v>
      </c>
      <c r="C67" s="135" t="s">
        <v>192</v>
      </c>
      <c r="D67" s="135" t="s">
        <v>193</v>
      </c>
      <c r="E67" s="135" t="s">
        <v>194</v>
      </c>
    </row>
    <row r="68" spans="1:5" x14ac:dyDescent="0.2">
      <c r="A68" s="135" t="str">
        <f>HLOOKUP(Intro!$B$7,$B:$I,ROW(A68),FALSE)</f>
        <v>Aflossing en rente privélening (geen hypotheek)</v>
      </c>
      <c r="B68" s="135" t="s">
        <v>1164</v>
      </c>
      <c r="C68" s="135" t="s">
        <v>195</v>
      </c>
      <c r="D68" s="135" t="s">
        <v>196</v>
      </c>
      <c r="E68" s="135" t="s">
        <v>197</v>
      </c>
    </row>
    <row r="69" spans="1:5" x14ac:dyDescent="0.2">
      <c r="A69" s="135" t="str">
        <f>HLOOKUP(Intro!$B$7,$B:$I,ROW(A69),FALSE)</f>
        <v>Overige privé-uitgaven</v>
      </c>
      <c r="B69" s="135" t="s">
        <v>198</v>
      </c>
      <c r="C69" s="135" t="s">
        <v>199</v>
      </c>
      <c r="D69" s="135" t="s">
        <v>200</v>
      </c>
      <c r="E69" s="135" t="s">
        <v>201</v>
      </c>
    </row>
    <row r="70" spans="1:5" x14ac:dyDescent="0.2">
      <c r="A70" s="135" t="str">
        <f>HLOOKUP(Intro!$B$7,$B:$I,ROW(A70),FALSE)</f>
        <v>Dit bedrag kan je maandelijks nog sparen voordat je met je bedrijf gaat starten:</v>
      </c>
      <c r="B70" s="135" t="s">
        <v>202</v>
      </c>
      <c r="C70" s="135" t="s">
        <v>203</v>
      </c>
      <c r="D70" s="135" t="s">
        <v>204</v>
      </c>
      <c r="E70" s="135" t="s">
        <v>205</v>
      </c>
    </row>
    <row r="71" spans="1:5" ht="25.5" x14ac:dyDescent="0.2">
      <c r="A71" s="135" t="str">
        <f>HLOOKUP(Intro!$B$7,$B:$I,ROW(A71),FALSE)</f>
        <v>Dit bedrag moet je maandelijks uit je onderneming halen voor privédoeleinden als je bent gestart:</v>
      </c>
      <c r="B71" s="135" t="s">
        <v>1184</v>
      </c>
      <c r="C71" s="135" t="s">
        <v>206</v>
      </c>
      <c r="D71" s="135" t="s">
        <v>207</v>
      </c>
      <c r="E71" s="135" t="s">
        <v>208</v>
      </c>
    </row>
    <row r="72" spans="1:5" x14ac:dyDescent="0.2">
      <c r="A72" s="135" t="str">
        <f>HLOOKUP(Intro!$B$7,$B:$I,ROW(A72),FALSE)</f>
        <v>Hoeveel salaris ga je maandelijks uit de B.V. halen?</v>
      </c>
      <c r="B72" s="135" t="s">
        <v>1040</v>
      </c>
      <c r="C72" s="135" t="s">
        <v>1041</v>
      </c>
    </row>
    <row r="73" spans="1:5" x14ac:dyDescent="0.2">
      <c r="A73" s="135" t="str">
        <f>HLOOKUP(Intro!$B$7,$B:$I,ROW(A73),FALSE)</f>
        <v>Vul het brutoloon in:</v>
      </c>
      <c r="B73" s="135" t="s">
        <v>1042</v>
      </c>
      <c r="C73" s="135" t="s">
        <v>1043</v>
      </c>
    </row>
    <row r="74" spans="1:5" x14ac:dyDescent="0.2">
      <c r="A74" s="135" t="str">
        <f>HLOOKUP(Intro!$B$7,$B:$I,ROW(A74),FALSE)</f>
        <v>Privé: Eigen geld, bezittingen en schulden</v>
      </c>
      <c r="B74" s="135" t="s">
        <v>209</v>
      </c>
      <c r="C74" s="135" t="s">
        <v>210</v>
      </c>
      <c r="D74" s="135" t="s">
        <v>211</v>
      </c>
      <c r="E74" s="135" t="s">
        <v>212</v>
      </c>
    </row>
    <row r="75" spans="1:5" x14ac:dyDescent="0.2">
      <c r="A75" s="135" t="str">
        <f>HLOOKUP(Intro!$B$7,$B:$I,ROW(A75),FALSE)</f>
        <v>Heb je een koopwoning?</v>
      </c>
      <c r="B75" s="135" t="s">
        <v>213</v>
      </c>
      <c r="C75" s="135" t="s">
        <v>214</v>
      </c>
      <c r="D75" s="135" t="s">
        <v>215</v>
      </c>
      <c r="E75" s="135" t="s">
        <v>216</v>
      </c>
    </row>
    <row r="76" spans="1:5" x14ac:dyDescent="0.2">
      <c r="A76" s="135" t="str">
        <f>HLOOKUP(Intro!$B$7,$B:$I,ROW(A76),FALSE)</f>
        <v>Wat is de WOZ-waarde van je woning?</v>
      </c>
      <c r="B76" s="135" t="s">
        <v>1165</v>
      </c>
      <c r="C76" s="135" t="s">
        <v>217</v>
      </c>
      <c r="D76" s="135" t="s">
        <v>218</v>
      </c>
      <c r="E76" s="135" t="s">
        <v>219</v>
      </c>
    </row>
    <row r="77" spans="1:5" x14ac:dyDescent="0.2">
      <c r="A77" s="135" t="str">
        <f>HLOOKUP(Intro!$B$7,$B:$I,ROW(A77),FALSE)</f>
        <v>Wat is de hoogte van je openstaande hypotheek?</v>
      </c>
      <c r="B77" s="135" t="s">
        <v>1063</v>
      </c>
      <c r="C77" s="135" t="s">
        <v>1064</v>
      </c>
      <c r="D77" s="135" t="s">
        <v>220</v>
      </c>
      <c r="E77" s="135" t="s">
        <v>221</v>
      </c>
    </row>
    <row r="78" spans="1:5" x14ac:dyDescent="0.2">
      <c r="A78" s="135" t="str">
        <f>HLOOKUP(Intro!$B$7,$B:$I,ROW(A78),FALSE)</f>
        <v>Als je (naast je hypotheek) nog andere schulden hebt, hoe hoog zijn deze schulden?</v>
      </c>
      <c r="B78" s="135" t="s">
        <v>222</v>
      </c>
      <c r="C78" s="135" t="s">
        <v>223</v>
      </c>
      <c r="D78" s="135" t="s">
        <v>224</v>
      </c>
      <c r="E78" s="135" t="s">
        <v>225</v>
      </c>
    </row>
    <row r="79" spans="1:5" x14ac:dyDescent="0.2">
      <c r="A79" s="135" t="str">
        <f>HLOOKUP(Intro!$B$7,$B:$I,ROW(A79),FALSE)</f>
        <v xml:space="preserve">Hoeveel spaargeld heb je op dit moment? </v>
      </c>
      <c r="B79" s="135" t="s">
        <v>226</v>
      </c>
      <c r="C79" s="135" t="s">
        <v>227</v>
      </c>
      <c r="D79" s="135" t="s">
        <v>228</v>
      </c>
      <c r="E79" s="135" t="s">
        <v>229</v>
      </c>
    </row>
    <row r="80" spans="1:5" x14ac:dyDescent="0.2">
      <c r="A80" s="135" t="str">
        <f>HLOOKUP(Intro!$B$7,$B:$I,ROW(A80),FALSE)</f>
        <v>Welk bedrag heb je gespaard voor de start van jouw bedrijf?</v>
      </c>
      <c r="B80" s="135" t="s">
        <v>230</v>
      </c>
      <c r="C80" s="135" t="s">
        <v>231</v>
      </c>
      <c r="D80" s="135" t="s">
        <v>232</v>
      </c>
      <c r="E80" s="135" t="s">
        <v>233</v>
      </c>
    </row>
    <row r="81" spans="1:11" x14ac:dyDescent="0.2">
      <c r="A81" s="135" t="str">
        <f>HLOOKUP(Intro!$B$7,$B:$I,ROW(A81),FALSE)</f>
        <v>Als je nog ander vermogen hebt, zoals aandelen of vastgoed, wat is de waarde hiervan?</v>
      </c>
      <c r="B81" s="135" t="s">
        <v>234</v>
      </c>
      <c r="C81" s="135" t="s">
        <v>235</v>
      </c>
      <c r="D81" s="135" t="s">
        <v>236</v>
      </c>
      <c r="E81" s="135" t="s">
        <v>237</v>
      </c>
    </row>
    <row r="82" spans="1:11" x14ac:dyDescent="0.2">
      <c r="A82" s="135" t="str">
        <f>HLOOKUP(Intro!$B$7,$B:$I,ROW(A82),FALSE)</f>
        <v>Investeringen (voor langere periode)</v>
      </c>
      <c r="B82" s="135" t="s">
        <v>238</v>
      </c>
      <c r="C82" s="135" t="s">
        <v>239</v>
      </c>
      <c r="D82" s="135" t="s">
        <v>240</v>
      </c>
      <c r="E82" s="135" t="s">
        <v>241</v>
      </c>
    </row>
    <row r="83" spans="1:11" x14ac:dyDescent="0.2">
      <c r="A83" s="135" t="str">
        <f>HLOOKUP(Intro!$B$7,$B:$I,ROW(A83),FALSE)</f>
        <v xml:space="preserve">Wat heb je nodig om te kunnen starten met je bedrijf?  </v>
      </c>
      <c r="B83" s="135" t="s">
        <v>242</v>
      </c>
      <c r="C83" s="135" t="s">
        <v>243</v>
      </c>
      <c r="D83" s="135" t="s">
        <v>244</v>
      </c>
      <c r="E83" s="135" t="s">
        <v>245</v>
      </c>
    </row>
    <row r="84" spans="1:11" x14ac:dyDescent="0.2">
      <c r="A84" s="135" t="str">
        <f>HLOOKUP(Intro!$B$7,$B:$I,ROW(A84),FALSE)</f>
        <v>Aankoop onroerend goed</v>
      </c>
      <c r="B84" s="135" t="s">
        <v>246</v>
      </c>
      <c r="C84" s="135" t="s">
        <v>247</v>
      </c>
    </row>
    <row r="85" spans="1:11" x14ac:dyDescent="0.2">
      <c r="A85" s="135" t="str">
        <f>HLOOKUP(Intro!$B$7,$B:$I,ROW(A85),FALSE)</f>
        <v>Verbouwing</v>
      </c>
      <c r="B85" s="135" t="s">
        <v>248</v>
      </c>
      <c r="C85" s="135" t="s">
        <v>249</v>
      </c>
      <c r="D85" s="135" t="s">
        <v>250</v>
      </c>
      <c r="E85" s="135" t="s">
        <v>251</v>
      </c>
      <c r="K85" s="136"/>
    </row>
    <row r="86" spans="1:11" x14ac:dyDescent="0.2">
      <c r="A86" s="135" t="str">
        <f>HLOOKUP(Intro!$B$7,$B:$I,ROW(A86),FALSE)</f>
        <v>Inventaris</v>
      </c>
      <c r="B86" s="135" t="s">
        <v>252</v>
      </c>
      <c r="C86" s="135" t="s">
        <v>253</v>
      </c>
      <c r="D86" s="135" t="s">
        <v>254</v>
      </c>
      <c r="E86" s="135" t="s">
        <v>254</v>
      </c>
      <c r="K86" s="136"/>
    </row>
    <row r="87" spans="1:11" x14ac:dyDescent="0.2">
      <c r="A87" s="135" t="str">
        <f>HLOOKUP(Intro!$B$7,$B:$I,ROW(A87),FALSE)</f>
        <v>Machines en/of gereedschappen</v>
      </c>
      <c r="B87" s="135" t="s">
        <v>1065</v>
      </c>
      <c r="C87" s="135" t="s">
        <v>1066</v>
      </c>
      <c r="D87" s="135" t="s">
        <v>255</v>
      </c>
      <c r="E87" s="135" t="s">
        <v>256</v>
      </c>
      <c r="K87" s="136"/>
    </row>
    <row r="88" spans="1:11" x14ac:dyDescent="0.2">
      <c r="A88" s="135" t="str">
        <f>HLOOKUP(Intro!$B$7,$B:$I,ROW(A88),FALSE)</f>
        <v>Computer en/of software</v>
      </c>
      <c r="B88" s="135" t="s">
        <v>257</v>
      </c>
      <c r="C88" s="135" t="s">
        <v>258</v>
      </c>
      <c r="D88" s="135" t="s">
        <v>259</v>
      </c>
      <c r="E88" s="135" t="s">
        <v>260</v>
      </c>
    </row>
    <row r="89" spans="1:11" x14ac:dyDescent="0.2">
      <c r="A89" s="135" t="str">
        <f>HLOOKUP(Intro!$B$7,$B:$I,ROW(A89),FALSE)</f>
        <v>Transportmiddel</v>
      </c>
      <c r="B89" s="135" t="s">
        <v>261</v>
      </c>
      <c r="C89" s="135" t="s">
        <v>1067</v>
      </c>
      <c r="D89" s="135" t="s">
        <v>262</v>
      </c>
      <c r="E89" s="135" t="s">
        <v>263</v>
      </c>
      <c r="K89" s="136"/>
    </row>
    <row r="90" spans="1:11" x14ac:dyDescent="0.2">
      <c r="A90" s="135" t="str">
        <f>HLOOKUP(Intro!$B$7,$B:$I,ROW(A90),FALSE)</f>
        <v>Startvoorraad product 1</v>
      </c>
      <c r="B90" s="135" t="s">
        <v>264</v>
      </c>
      <c r="C90" s="135" t="s">
        <v>265</v>
      </c>
      <c r="D90" s="135" t="s">
        <v>266</v>
      </c>
      <c r="E90" s="135" t="s">
        <v>267</v>
      </c>
      <c r="K90" s="136"/>
    </row>
    <row r="91" spans="1:11" x14ac:dyDescent="0.2">
      <c r="A91" s="135" t="str">
        <f>HLOOKUP(Intro!$B$7,$B:$I,ROW(A91),FALSE)</f>
        <v>Startvoorraad product 2</v>
      </c>
      <c r="B91" s="135" t="s">
        <v>268</v>
      </c>
      <c r="C91" s="135" t="s">
        <v>269</v>
      </c>
      <c r="D91" s="135" t="s">
        <v>266</v>
      </c>
      <c r="E91" s="135" t="s">
        <v>267</v>
      </c>
      <c r="K91" s="136"/>
    </row>
    <row r="92" spans="1:11" x14ac:dyDescent="0.2">
      <c r="A92" s="135" t="str">
        <f>HLOOKUP(Intro!$B$7,$B:$I,ROW(A92),FALSE)</f>
        <v>Startvoorraad product 3</v>
      </c>
      <c r="B92" s="135" t="s">
        <v>1262</v>
      </c>
      <c r="C92" s="135" t="s">
        <v>1263</v>
      </c>
      <c r="K92" s="136"/>
    </row>
    <row r="93" spans="1:11" x14ac:dyDescent="0.2">
      <c r="A93" s="135" t="str">
        <f>HLOOKUP(Intro!$B$7,$B:$I,ROW(A93),FALSE)</f>
        <v>Huurgarantie</v>
      </c>
      <c r="B93" s="135" t="s">
        <v>270</v>
      </c>
      <c r="C93" s="135" t="s">
        <v>271</v>
      </c>
      <c r="D93" s="135" t="s">
        <v>272</v>
      </c>
      <c r="E93" s="135" t="s">
        <v>273</v>
      </c>
    </row>
    <row r="94" spans="1:11" x14ac:dyDescent="0.2">
      <c r="A94" s="135" t="str">
        <f>HLOOKUP(Intro!$B$7,$B:$I,ROW(A94),FALSE)</f>
        <v>Franchisefee</v>
      </c>
      <c r="B94" s="135" t="s">
        <v>274</v>
      </c>
      <c r="C94" s="135" t="s">
        <v>275</v>
      </c>
      <c r="D94" s="135" t="s">
        <v>276</v>
      </c>
      <c r="E94" s="135" t="s">
        <v>277</v>
      </c>
    </row>
    <row r="95" spans="1:11" x14ac:dyDescent="0.2">
      <c r="A95" s="135" t="str">
        <f>HLOOKUP(Intro!$B$7,$B:$I,ROW(A95),FALSE)</f>
        <v>Goodwill</v>
      </c>
      <c r="B95" s="135" t="s">
        <v>278</v>
      </c>
      <c r="C95" s="135" t="s">
        <v>278</v>
      </c>
      <c r="D95" s="135" t="s">
        <v>279</v>
      </c>
      <c r="E95" s="135" t="s">
        <v>278</v>
      </c>
    </row>
    <row r="96" spans="1:11" x14ac:dyDescent="0.2">
      <c r="A96" s="135" t="str">
        <f>HLOOKUP(Intro!$B$7,$B:$I,ROW(A96),FALSE)</f>
        <v>Promotiekosten</v>
      </c>
      <c r="B96" s="135" t="s">
        <v>280</v>
      </c>
      <c r="C96" s="135" t="s">
        <v>1068</v>
      </c>
      <c r="D96" s="135" t="s">
        <v>281</v>
      </c>
      <c r="E96" s="135" t="s">
        <v>282</v>
      </c>
      <c r="K96" s="136"/>
    </row>
    <row r="97" spans="1:11" x14ac:dyDescent="0.2">
      <c r="A97" s="135" t="str">
        <f>HLOOKUP(Intro!$B$7,$B:$I,ROW(A97),FALSE)</f>
        <v>Btw over investeringen</v>
      </c>
      <c r="B97" s="135" t="s">
        <v>1124</v>
      </c>
      <c r="C97" s="135" t="s">
        <v>283</v>
      </c>
      <c r="D97" s="135" t="s">
        <v>284</v>
      </c>
      <c r="E97" s="135" t="s">
        <v>285</v>
      </c>
    </row>
    <row r="98" spans="1:11" x14ac:dyDescent="0.2">
      <c r="A98" s="135" t="str">
        <f>HLOOKUP(Intro!$B$7,$B:$I,ROW(A98),FALSE)</f>
        <v>Overbrugging, aanloopkosten en overig/onvoorzien</v>
      </c>
      <c r="B98" s="135" t="s">
        <v>286</v>
      </c>
      <c r="C98" s="135" t="s">
        <v>287</v>
      </c>
      <c r="D98" s="135" t="s">
        <v>288</v>
      </c>
      <c r="E98" s="135" t="s">
        <v>289</v>
      </c>
      <c r="K98" s="136"/>
    </row>
    <row r="99" spans="1:11" x14ac:dyDescent="0.2">
      <c r="A99" s="135" t="str">
        <f>HLOOKUP(Intro!$B$7,$B:$I,ROW(A99),FALSE)</f>
        <v>Financieringen</v>
      </c>
      <c r="B99" s="135" t="s">
        <v>290</v>
      </c>
      <c r="C99" s="135" t="s">
        <v>291</v>
      </c>
      <c r="D99" s="135" t="s">
        <v>292</v>
      </c>
      <c r="E99" s="135" t="s">
        <v>293</v>
      </c>
    </row>
    <row r="100" spans="1:11" x14ac:dyDescent="0.2">
      <c r="A100" s="135" t="str">
        <f>HLOOKUP(Intro!$B$7,$B:$I,ROW(A100),FALSE)</f>
        <v>Hoeveel (spaar)geld ga je zelf inbrengen?</v>
      </c>
      <c r="B100" s="135" t="s">
        <v>294</v>
      </c>
      <c r="C100" s="135" t="s">
        <v>295</v>
      </c>
      <c r="D100" s="135" t="s">
        <v>296</v>
      </c>
      <c r="E100" s="135" t="s">
        <v>297</v>
      </c>
    </row>
    <row r="101" spans="1:11" x14ac:dyDescent="0.2">
      <c r="A101" s="135" t="str">
        <f>HLOOKUP(Intro!$B$7,$B:$I,ROW(A101),FALSE)</f>
        <v>Hoeveel geld heb je geleend en/of ga je lenen bij familie/vrienden?</v>
      </c>
      <c r="B101" s="135" t="s">
        <v>1193</v>
      </c>
      <c r="C101" s="135" t="s">
        <v>298</v>
      </c>
      <c r="D101" s="135" t="s">
        <v>299</v>
      </c>
      <c r="E101" s="135" t="s">
        <v>300</v>
      </c>
    </row>
    <row r="102" spans="1:11" s="136" customFormat="1" x14ac:dyDescent="0.2">
      <c r="A102" s="135" t="str">
        <f>HLOOKUP(Intro!$B$7,$B:$I,ROW(A102),FALSE)</f>
        <v>a. Hoeveel rente betaal je hiervoor per maand?</v>
      </c>
      <c r="B102" s="135" t="s">
        <v>999</v>
      </c>
      <c r="C102" s="135" t="s">
        <v>1000</v>
      </c>
      <c r="D102" s="135" t="s">
        <v>1016</v>
      </c>
      <c r="E102" s="135" t="s">
        <v>1017</v>
      </c>
      <c r="F102" s="135"/>
      <c r="G102" s="135"/>
      <c r="H102" s="135"/>
      <c r="I102" s="135"/>
      <c r="J102" s="135"/>
      <c r="K102" s="135"/>
    </row>
    <row r="103" spans="1:11" s="136" customFormat="1" x14ac:dyDescent="0.2">
      <c r="A103" s="135" t="str">
        <f>HLOOKUP(Intro!$B$7,$B:$I,ROW(A103),FALSE)</f>
        <v>b. Hoeveel moet je per maand terugbetalen (aflossen)?</v>
      </c>
      <c r="B103" s="135" t="s">
        <v>1001</v>
      </c>
      <c r="C103" s="135" t="s">
        <v>1002</v>
      </c>
      <c r="D103" s="135" t="s">
        <v>1019</v>
      </c>
      <c r="E103" s="135" t="s">
        <v>1018</v>
      </c>
      <c r="F103" s="135"/>
      <c r="G103" s="135"/>
      <c r="H103" s="135"/>
      <c r="I103" s="135"/>
      <c r="J103" s="135"/>
      <c r="K103" s="135"/>
    </row>
    <row r="104" spans="1:11" s="136" customFormat="1" x14ac:dyDescent="0.2">
      <c r="A104" s="135" t="str">
        <f>HLOOKUP(Intro!$B$7,$B:$I,ROW(A104),FALSE)</f>
        <v>c. Wanneer begin je met aflossen?</v>
      </c>
      <c r="B104" s="135" t="s">
        <v>1003</v>
      </c>
      <c r="C104" s="135" t="s">
        <v>1004</v>
      </c>
      <c r="D104" s="135" t="s">
        <v>1020</v>
      </c>
      <c r="E104" s="135" t="s">
        <v>1021</v>
      </c>
      <c r="F104" s="135"/>
      <c r="G104" s="135"/>
      <c r="H104" s="135"/>
      <c r="I104" s="135"/>
      <c r="J104" s="135"/>
      <c r="K104" s="135"/>
    </row>
    <row r="105" spans="1:11" x14ac:dyDescent="0.2">
      <c r="A105" s="135" t="str">
        <f>HLOOKUP(Intro!$B$7,$B:$I,ROW(A105),FALSE)</f>
        <v xml:space="preserve">Hoeveel geld heb je geleend en/of ga je lenen bij overige financieringsbronnen? </v>
      </c>
      <c r="B105" s="135" t="s">
        <v>1069</v>
      </c>
      <c r="C105" s="135" t="s">
        <v>1070</v>
      </c>
      <c r="D105" s="135" t="s">
        <v>301</v>
      </c>
      <c r="E105" s="135" t="s">
        <v>302</v>
      </c>
    </row>
    <row r="106" spans="1:11" s="136" customFormat="1" x14ac:dyDescent="0.2">
      <c r="A106" s="135" t="str">
        <f>HLOOKUP(Intro!$B$7,$B:$I,ROW(A106),FALSE)</f>
        <v>a. Hoeveel rente betaal je hiervoor per maand?</v>
      </c>
      <c r="B106" s="135" t="s">
        <v>999</v>
      </c>
      <c r="C106" s="135" t="s">
        <v>1000</v>
      </c>
      <c r="D106" s="135" t="s">
        <v>1016</v>
      </c>
      <c r="E106" s="135" t="s">
        <v>1017</v>
      </c>
      <c r="F106" s="135"/>
      <c r="G106" s="135"/>
      <c r="H106" s="135"/>
      <c r="I106" s="135"/>
      <c r="J106" s="135"/>
      <c r="K106" s="135"/>
    </row>
    <row r="107" spans="1:11" s="136" customFormat="1" x14ac:dyDescent="0.2">
      <c r="A107" s="135" t="str">
        <f>HLOOKUP(Intro!$B$7,$B:$I,ROW(A107),FALSE)</f>
        <v>b. Hoeveel moet je per maand terugbetalen (aflossen)?</v>
      </c>
      <c r="B107" s="135" t="s">
        <v>1001</v>
      </c>
      <c r="C107" s="135" t="s">
        <v>1002</v>
      </c>
      <c r="D107" s="135" t="s">
        <v>1019</v>
      </c>
      <c r="E107" s="135" t="s">
        <v>1018</v>
      </c>
      <c r="F107" s="135"/>
      <c r="G107" s="135"/>
      <c r="H107" s="135"/>
      <c r="I107" s="135"/>
      <c r="J107" s="135"/>
      <c r="K107" s="135"/>
    </row>
    <row r="108" spans="1:11" s="136" customFormat="1" x14ac:dyDescent="0.2">
      <c r="A108" s="135" t="str">
        <f>HLOOKUP(Intro!$B$7,$B:$I,ROW(A108),FALSE)</f>
        <v>c. Wanneer begin je met aflossen?</v>
      </c>
      <c r="B108" s="135" t="s">
        <v>1003</v>
      </c>
      <c r="C108" s="135" t="s">
        <v>1004</v>
      </c>
      <c r="D108" s="135" t="s">
        <v>1020</v>
      </c>
      <c r="E108" s="135" t="s">
        <v>1021</v>
      </c>
      <c r="F108" s="135"/>
      <c r="G108" s="135"/>
      <c r="H108" s="135"/>
      <c r="I108" s="135"/>
      <c r="J108" s="135"/>
      <c r="K108" s="135"/>
    </row>
    <row r="109" spans="1:11" x14ac:dyDescent="0.2">
      <c r="A109" s="135" t="str">
        <f>HLOOKUP(Intro!$B$7,$B:$I,ROW(A109),FALSE)</f>
        <v>Maandelijkse indirecte kosten</v>
      </c>
      <c r="B109" s="135" t="s">
        <v>303</v>
      </c>
      <c r="C109" s="135" t="s">
        <v>304</v>
      </c>
      <c r="D109" s="135" t="s">
        <v>305</v>
      </c>
      <c r="E109" s="135" t="s">
        <v>306</v>
      </c>
      <c r="K109" s="136"/>
    </row>
    <row r="110" spans="1:11" x14ac:dyDescent="0.2">
      <c r="A110" s="135" t="str">
        <f>HLOOKUP(Intro!$B$7,$B:$I,ROW(A110),FALSE)</f>
        <v>Hoe hoog zijn de maandelijkse kosten?</v>
      </c>
      <c r="B110" s="135" t="s">
        <v>307</v>
      </c>
      <c r="C110" s="135" t="s">
        <v>308</v>
      </c>
      <c r="D110" s="135" t="s">
        <v>309</v>
      </c>
      <c r="E110" s="135" t="s">
        <v>310</v>
      </c>
      <c r="K110" s="136"/>
    </row>
    <row r="111" spans="1:11" ht="25.5" x14ac:dyDescent="0.2">
      <c r="A111" s="135" t="str">
        <f>HLOOKUP(Intro!$B$7,$B:$I,ROW(A111),FALSE)</f>
        <v>Personeel (let op: bruto personeelslasten, dus inclusief premies en belastingen)</v>
      </c>
      <c r="B111" s="135" t="s">
        <v>311</v>
      </c>
      <c r="C111" s="135" t="s">
        <v>312</v>
      </c>
      <c r="D111" s="135" t="s">
        <v>313</v>
      </c>
      <c r="E111" s="135" t="s">
        <v>314</v>
      </c>
      <c r="K111" s="136"/>
    </row>
    <row r="112" spans="1:11" s="136" customFormat="1" x14ac:dyDescent="0.2">
      <c r="A112" s="135" t="str">
        <f>HLOOKUP(Intro!$B$7,$B:$I,ROW(A112),FALSE)</f>
        <v xml:space="preserve"> - Vanaf wanneer heb je deze kosten?</v>
      </c>
      <c r="B112" s="135" t="s">
        <v>1005</v>
      </c>
      <c r="C112" s="135" t="s">
        <v>1006</v>
      </c>
      <c r="D112" s="135" t="str">
        <f>IF(VRAGENLIJST!$H$139&gt;0," - ¿A partir de cuando tienes estos gastos?","")</f>
        <v/>
      </c>
      <c r="E112" s="135" t="str">
        <f>IF(VRAGENLIJST!$H$139&gt;0," - Entrante ki tempo bo tin e gastonan aki?","")</f>
        <v/>
      </c>
      <c r="F112" s="135"/>
      <c r="G112" s="135"/>
      <c r="H112" s="135"/>
      <c r="I112" s="135"/>
      <c r="J112" s="135"/>
      <c r="K112" s="135"/>
    </row>
    <row r="113" spans="1:11" x14ac:dyDescent="0.2">
      <c r="A113" s="135" t="str">
        <f>HLOOKUP(Intro!$B$7,$B:$I,ROW(A113),FALSE)</f>
        <v>Huisvesting (huur, schoonmaak, onderhoud)</v>
      </c>
      <c r="B113" s="135" t="s">
        <v>315</v>
      </c>
      <c r="C113" s="135" t="s">
        <v>316</v>
      </c>
      <c r="D113" s="135" t="s">
        <v>317</v>
      </c>
      <c r="E113" s="135" t="s">
        <v>318</v>
      </c>
    </row>
    <row r="114" spans="1:11" s="136" customFormat="1" x14ac:dyDescent="0.2">
      <c r="A114" s="135" t="str">
        <f>HLOOKUP(Intro!$B$7,$B:$I,ROW(A114),FALSE)</f>
        <v xml:space="preserve"> - Vanaf wanneer heb je deze kosten?</v>
      </c>
      <c r="B114" s="135" t="s">
        <v>1005</v>
      </c>
      <c r="C114" s="135" t="s">
        <v>1006</v>
      </c>
      <c r="D114" s="135" t="s">
        <v>1011</v>
      </c>
      <c r="E114" s="135" t="str">
        <f>IF(VRAGENLIJST!$H$143&gt;0," - Entrante ki tempo bo tin e gastonan aki?","")</f>
        <v/>
      </c>
      <c r="F114" s="135"/>
      <c r="G114" s="135"/>
      <c r="H114" s="135"/>
      <c r="I114" s="135"/>
      <c r="J114" s="135"/>
      <c r="K114" s="135"/>
    </row>
    <row r="115" spans="1:11" x14ac:dyDescent="0.2">
      <c r="A115" s="135" t="str">
        <f>HLOOKUP(Intro!$B$7,$B:$I,ROW(A115),FALSE)</f>
        <v>Vervoer/verblijf (brandstof, onderhoud, parkeren, verzekeringen)</v>
      </c>
      <c r="B115" s="135" t="s">
        <v>319</v>
      </c>
      <c r="C115" s="135" t="s">
        <v>320</v>
      </c>
      <c r="D115" s="135" t="s">
        <v>321</v>
      </c>
      <c r="E115" s="135" t="s">
        <v>322</v>
      </c>
    </row>
    <row r="116" spans="1:11" ht="25.5" x14ac:dyDescent="0.2">
      <c r="A116" s="135" t="str">
        <f>HLOOKUP(Intro!$B$7,$B:$I,ROW(A116),FALSE)</f>
        <v>Promotie/reclame (onderhoudskosten website, domeinnaam, Google Ads)</v>
      </c>
      <c r="B116" s="135" t="s">
        <v>1115</v>
      </c>
      <c r="C116" s="135" t="s">
        <v>1116</v>
      </c>
      <c r="D116" s="135" t="s">
        <v>323</v>
      </c>
      <c r="E116" s="135" t="s">
        <v>324</v>
      </c>
    </row>
    <row r="117" spans="1:11" x14ac:dyDescent="0.2">
      <c r="A117" s="135" t="str">
        <f>HLOOKUP(Intro!$B$7,$B:$I,ROW(A117),FALSE)</f>
        <v>Overige bedrijfskosten:</v>
      </c>
      <c r="B117" s="135" t="s">
        <v>325</v>
      </c>
      <c r="C117" s="135" t="s">
        <v>326</v>
      </c>
      <c r="D117" s="135" t="s">
        <v>327</v>
      </c>
      <c r="E117" s="135" t="s">
        <v>328</v>
      </c>
    </row>
    <row r="118" spans="1:11" x14ac:dyDescent="0.2">
      <c r="A118" s="135" t="str">
        <f>HLOOKUP(Intro!$B$7,$B:$I,ROW(A118),FALSE)</f>
        <v>Verzekeringen (aansprakelijkheid, arbeidsongeschiktheid, inboedel)</v>
      </c>
      <c r="B118" s="135" t="s">
        <v>1104</v>
      </c>
      <c r="C118" s="135" t="s">
        <v>1105</v>
      </c>
      <c r="D118" s="135" t="s">
        <v>329</v>
      </c>
      <c r="E118" s="135" t="s">
        <v>330</v>
      </c>
    </row>
    <row r="119" spans="1:11" x14ac:dyDescent="0.2">
      <c r="A119" s="135" t="str">
        <f>HLOOKUP(Intro!$B$7,$B:$I,ROW(A119),FALSE)</f>
        <v>Administratiekosten (accountant, adviseur, boekhoudpakket)</v>
      </c>
      <c r="B119" s="135" t="s">
        <v>1106</v>
      </c>
      <c r="C119" s="135" t="s">
        <v>1107</v>
      </c>
      <c r="D119" s="135" t="s">
        <v>331</v>
      </c>
      <c r="E119" s="135" t="s">
        <v>332</v>
      </c>
    </row>
    <row r="120" spans="1:11" ht="25.5" x14ac:dyDescent="0.2">
      <c r="A120" s="135" t="str">
        <f>HLOOKUP(Intro!$B$7,$B:$I,ROW(A120),FALSE)</f>
        <v>Abonnementen (telefoon, internet, vakbladen, brancheverenigingen, KVK, accountant, adviseur)</v>
      </c>
      <c r="B120" s="135" t="s">
        <v>1119</v>
      </c>
      <c r="C120" s="135" t="s">
        <v>1108</v>
      </c>
      <c r="D120" s="135" t="s">
        <v>333</v>
      </c>
      <c r="E120" s="135" t="s">
        <v>334</v>
      </c>
    </row>
    <row r="121" spans="1:11" x14ac:dyDescent="0.2">
      <c r="A121" s="135" t="str">
        <f>HLOOKUP(Intro!$B$7,$B:$I,ROW(A121),FALSE)</f>
        <v>Kantoorartikelen (pennen, papier, cartridges)</v>
      </c>
      <c r="B121" s="135" t="s">
        <v>1186</v>
      </c>
      <c r="C121" s="135" t="s">
        <v>1109</v>
      </c>
      <c r="D121" s="135" t="s">
        <v>335</v>
      </c>
      <c r="E121" s="135" t="s">
        <v>336</v>
      </c>
    </row>
    <row r="122" spans="1:11" x14ac:dyDescent="0.2">
      <c r="A122" s="135" t="str">
        <f>HLOOKUP(Intro!$B$7,$B:$I,ROW(A122),FALSE)</f>
        <v>Overig</v>
      </c>
      <c r="B122" s="135" t="s">
        <v>1110</v>
      </c>
      <c r="C122" s="135" t="s">
        <v>1111</v>
      </c>
      <c r="D122" s="135" t="s">
        <v>337</v>
      </c>
      <c r="E122" s="135" t="s">
        <v>338</v>
      </c>
    </row>
    <row r="123" spans="1:11" x14ac:dyDescent="0.2">
      <c r="A123" s="135" t="str">
        <f>HLOOKUP(Intro!$B$7,$B:$I,ROW(A123),FALSE)</f>
        <v>Maandelijkse directe kosten</v>
      </c>
      <c r="B123" s="135" t="s">
        <v>339</v>
      </c>
      <c r="C123" s="135" t="s">
        <v>340</v>
      </c>
      <c r="D123" s="135" t="s">
        <v>341</v>
      </c>
      <c r="E123" s="135" t="s">
        <v>342</v>
      </c>
    </row>
    <row r="124" spans="1:11" x14ac:dyDescent="0.2">
      <c r="A124" s="135" t="str">
        <f>HLOOKUP(Intro!$B$7,$B:$I,ROW(A124),FALSE)</f>
        <v>Koop je producten in die je, eventueel na bewerking, weer verkoopt?</v>
      </c>
      <c r="B124" s="135" t="s">
        <v>343</v>
      </c>
      <c r="C124" s="135" t="s">
        <v>344</v>
      </c>
      <c r="D124" s="135" t="s">
        <v>345</v>
      </c>
      <c r="E124" s="135" t="s">
        <v>346</v>
      </c>
    </row>
    <row r="125" spans="1:11" x14ac:dyDescent="0.2">
      <c r="A125" s="135" t="str">
        <f>HLOOKUP(Intro!$B$7,$B:$I,ROW(A125),FALSE)</f>
        <v>Als je meer dan drie producten verkoopt, probeer deze in drie groepen in te delen</v>
      </c>
      <c r="B125" s="135" t="s">
        <v>1212</v>
      </c>
      <c r="C125" s="135" t="s">
        <v>1213</v>
      </c>
    </row>
    <row r="126" spans="1:11" s="136" customFormat="1" x14ac:dyDescent="0.2">
      <c r="A126" s="135" t="str">
        <f>HLOOKUP(Intro!$B$7,$B:$I,ROW(A126),FALSE)</f>
        <v>Hoeveel procent van je omzet betaal je voor de inkoop?</v>
      </c>
      <c r="B126" s="135" t="s">
        <v>1007</v>
      </c>
      <c r="C126" s="135" t="s">
        <v>1008</v>
      </c>
      <c r="D126" s="135" t="str">
        <f>IF(VRAGENLIJST!$H$145="Si","¿Qué porcentaje de tus ingresos pagas por la compra?","")</f>
        <v/>
      </c>
      <c r="E126" s="135" t="str">
        <f>IF(VRAGENLIJST!$H$145="Si","Cuanto percentahe di bo benta bo ta paga pa compra di mercancia?","")</f>
        <v/>
      </c>
      <c r="F126" s="135"/>
      <c r="G126" s="135"/>
      <c r="H126" s="135"/>
      <c r="I126" s="135"/>
      <c r="J126" s="135"/>
      <c r="K126" s="135"/>
    </row>
    <row r="127" spans="1:11" s="136" customFormat="1" x14ac:dyDescent="0.2">
      <c r="A127" s="135" t="str">
        <f>HLOOKUP(Intro!$B$7,$B:$I,ROW(A127),FALSE)</f>
        <v>Welk btw-tarief is van toepassing op de inkoopprijs?</v>
      </c>
      <c r="B127" s="135" t="s">
        <v>1120</v>
      </c>
      <c r="C127" s="135" t="s">
        <v>1009</v>
      </c>
      <c r="D127" s="135" t="str">
        <f>IF(VRAGENLIJST!$H$145="Si","¿Qué tipo de BTW se aplica al precio de compra?","")</f>
        <v/>
      </c>
      <c r="E127" s="135" t="str">
        <f>IF(VRAGENLIJST!$H$145="Si","Cua tarifa di BTW ta aplicabel riba e prijs di compra?","")</f>
        <v/>
      </c>
      <c r="F127" s="135"/>
      <c r="G127" s="135"/>
      <c r="H127" s="135"/>
      <c r="I127" s="135"/>
      <c r="J127" s="135"/>
      <c r="K127" s="135"/>
    </row>
    <row r="128" spans="1:11" s="136" customFormat="1" x14ac:dyDescent="0.2">
      <c r="A128" s="135" t="str">
        <f>HLOOKUP(Intro!$B$7,$B:$I,ROW(A128),FALSE)</f>
        <v>Wanneer moet je je leveranciers betalen voor de inkoop?</v>
      </c>
      <c r="B128" s="135" t="s">
        <v>1187</v>
      </c>
      <c r="C128" s="135" t="s">
        <v>1010</v>
      </c>
      <c r="D128" s="135" t="str">
        <f>IF(VRAGENLIJST!$H$145="Si","¿Cuando debes pagar a tus proveedores (relacionado con la compra)?","")</f>
        <v/>
      </c>
      <c r="E128" s="135" t="str">
        <f>IF(VRAGENLIJST!$H$145="Si","Na ki momento bo tin cu paga bo proveedornan (relaciona cu e compra)?","")</f>
        <v/>
      </c>
      <c r="F128" s="135"/>
      <c r="G128" s="135"/>
      <c r="H128" s="135"/>
      <c r="I128" s="135"/>
      <c r="J128" s="135"/>
      <c r="K128" s="135"/>
    </row>
    <row r="129" spans="1:11" x14ac:dyDescent="0.2">
      <c r="A129" s="135" t="str">
        <f>HLOOKUP(Intro!$B$7,$B:$I,ROW(A129),FALSE)</f>
        <v>Inkomsten</v>
      </c>
      <c r="B129" s="135" t="s">
        <v>347</v>
      </c>
      <c r="C129" s="135" t="s">
        <v>348</v>
      </c>
      <c r="D129" s="135" t="s">
        <v>349</v>
      </c>
      <c r="E129" s="135" t="s">
        <v>350</v>
      </c>
    </row>
    <row r="130" spans="1:11" x14ac:dyDescent="0.2">
      <c r="A130" s="135" t="str">
        <f>HLOOKUP(Intro!$B$7,$B:$I,ROW(A130),FALSE)</f>
        <v>Welk btw-tarief is van toepassing op de verkoopprijs?</v>
      </c>
      <c r="B130" s="135" t="s">
        <v>1121</v>
      </c>
      <c r="C130" s="135" t="s">
        <v>351</v>
      </c>
      <c r="D130" s="135" t="s">
        <v>352</v>
      </c>
      <c r="E130" s="135" t="s">
        <v>353</v>
      </c>
    </row>
    <row r="131" spans="1:11" x14ac:dyDescent="0.2">
      <c r="A131" s="135" t="str">
        <f>HLOOKUP(Intro!$B$7,$B:$I,ROW(A131),FALSE)</f>
        <v>Wanneer betalen je klanten in het algemeen?</v>
      </c>
      <c r="B131" s="135" t="s">
        <v>354</v>
      </c>
      <c r="C131" s="135" t="s">
        <v>355</v>
      </c>
      <c r="D131" s="135" t="s">
        <v>356</v>
      </c>
      <c r="E131" s="135" t="s">
        <v>357</v>
      </c>
    </row>
    <row r="132" spans="1:11" x14ac:dyDescent="0.2">
      <c r="A132" s="135" t="str">
        <f>HLOOKUP(Intro!$B$7,$B:$I,ROW(A132),FALSE)</f>
        <v>Omzetprognose</v>
      </c>
      <c r="B132" s="135" t="s">
        <v>358</v>
      </c>
      <c r="C132" s="135" t="s">
        <v>359</v>
      </c>
      <c r="D132" s="135" t="s">
        <v>360</v>
      </c>
      <c r="E132" s="135" t="s">
        <v>361</v>
      </c>
    </row>
    <row r="133" spans="1:11" x14ac:dyDescent="0.2">
      <c r="A133" s="135" t="str">
        <f>HLOOKUP(Intro!$B$7,$B:$I,ROW(A133),FALSE)</f>
        <v>Hoeveel omzet verwacht je per maand te realiseren in het eerste actieve bedrijfsjaar?</v>
      </c>
      <c r="B133" s="135" t="s">
        <v>1072</v>
      </c>
      <c r="C133" s="135" t="s">
        <v>1071</v>
      </c>
      <c r="D133" s="135" t="s">
        <v>362</v>
      </c>
      <c r="E133" s="135" t="s">
        <v>363</v>
      </c>
    </row>
    <row r="134" spans="1:11" x14ac:dyDescent="0.2">
      <c r="A134" s="135" t="str">
        <f>HLOOKUP(Intro!$B$7,$B:$I,ROW(A134),FALSE)</f>
        <v>Maand 1</v>
      </c>
      <c r="B134" s="135" t="s">
        <v>37</v>
      </c>
      <c r="C134" s="135" t="s">
        <v>364</v>
      </c>
      <c r="D134" s="135" t="s">
        <v>365</v>
      </c>
      <c r="E134" s="135" t="s">
        <v>366</v>
      </c>
    </row>
    <row r="135" spans="1:11" x14ac:dyDescent="0.2">
      <c r="A135" s="135" t="str">
        <f>HLOOKUP(Intro!$B$7,$B:$I,ROW(A135),FALSE)</f>
        <v>Maand 2</v>
      </c>
      <c r="B135" s="135" t="s">
        <v>39</v>
      </c>
      <c r="C135" s="135" t="s">
        <v>367</v>
      </c>
      <c r="D135" s="135" t="s">
        <v>368</v>
      </c>
      <c r="E135" s="135" t="s">
        <v>369</v>
      </c>
    </row>
    <row r="136" spans="1:11" x14ac:dyDescent="0.2">
      <c r="A136" s="135" t="str">
        <f>HLOOKUP(Intro!$B$7,$B:$I,ROW(A136),FALSE)</f>
        <v>Maand 3</v>
      </c>
      <c r="B136" s="135" t="s">
        <v>40</v>
      </c>
      <c r="C136" s="135" t="s">
        <v>370</v>
      </c>
      <c r="D136" s="135" t="s">
        <v>371</v>
      </c>
      <c r="E136" s="135" t="s">
        <v>372</v>
      </c>
    </row>
    <row r="137" spans="1:11" x14ac:dyDescent="0.2">
      <c r="A137" s="135" t="str">
        <f>HLOOKUP(Intro!$B$7,$B:$I,ROW(A137),FALSE)</f>
        <v>Maand 4</v>
      </c>
      <c r="B137" s="135" t="s">
        <v>41</v>
      </c>
      <c r="C137" s="135" t="s">
        <v>373</v>
      </c>
      <c r="D137" s="135" t="s">
        <v>374</v>
      </c>
      <c r="E137" s="135" t="s">
        <v>375</v>
      </c>
    </row>
    <row r="138" spans="1:11" x14ac:dyDescent="0.2">
      <c r="A138" s="135" t="str">
        <f>HLOOKUP(Intro!$B$7,$B:$I,ROW(A138),FALSE)</f>
        <v>Maand 5</v>
      </c>
      <c r="B138" s="135" t="s">
        <v>42</v>
      </c>
      <c r="C138" s="135" t="s">
        <v>376</v>
      </c>
      <c r="D138" s="135" t="s">
        <v>377</v>
      </c>
      <c r="E138" s="135" t="s">
        <v>378</v>
      </c>
    </row>
    <row r="139" spans="1:11" x14ac:dyDescent="0.2">
      <c r="A139" s="135" t="str">
        <f>HLOOKUP(Intro!$B$7,$B:$I,ROW(A139),FALSE)</f>
        <v>Maand 6</v>
      </c>
      <c r="B139" s="135" t="s">
        <v>43</v>
      </c>
      <c r="C139" s="135" t="s">
        <v>379</v>
      </c>
      <c r="D139" s="135" t="s">
        <v>380</v>
      </c>
      <c r="E139" s="135" t="s">
        <v>381</v>
      </c>
    </row>
    <row r="140" spans="1:11" x14ac:dyDescent="0.2">
      <c r="A140" s="135" t="str">
        <f>HLOOKUP(Intro!$B$7,$B:$I,ROW(A140),FALSE)</f>
        <v>Maand 7</v>
      </c>
      <c r="B140" s="135" t="s">
        <v>44</v>
      </c>
      <c r="C140" s="135" t="s">
        <v>382</v>
      </c>
      <c r="D140" s="135" t="s">
        <v>383</v>
      </c>
      <c r="E140" s="135" t="s">
        <v>384</v>
      </c>
    </row>
    <row r="141" spans="1:11" x14ac:dyDescent="0.2">
      <c r="A141" s="135" t="str">
        <f>HLOOKUP(Intro!$B$7,$B:$I,ROW(A141),FALSE)</f>
        <v>Maand 8</v>
      </c>
      <c r="B141" s="135" t="s">
        <v>45</v>
      </c>
      <c r="C141" s="135" t="s">
        <v>385</v>
      </c>
      <c r="D141" s="135" t="s">
        <v>386</v>
      </c>
      <c r="E141" s="135" t="s">
        <v>387</v>
      </c>
    </row>
    <row r="142" spans="1:11" x14ac:dyDescent="0.2">
      <c r="A142" s="135" t="str">
        <f>HLOOKUP(Intro!$B$7,$B:$I,ROW(A142),FALSE)</f>
        <v>Maand 9</v>
      </c>
      <c r="B142" s="135" t="s">
        <v>46</v>
      </c>
      <c r="C142" s="135" t="s">
        <v>388</v>
      </c>
      <c r="D142" s="135" t="s">
        <v>389</v>
      </c>
      <c r="E142" s="135" t="s">
        <v>390</v>
      </c>
      <c r="K142" s="136"/>
    </row>
    <row r="143" spans="1:11" x14ac:dyDescent="0.2">
      <c r="A143" s="135" t="str">
        <f>HLOOKUP(Intro!$B$7,$B:$I,ROW(A143),FALSE)</f>
        <v>Maand 10</v>
      </c>
      <c r="B143" s="135" t="s">
        <v>47</v>
      </c>
      <c r="C143" s="135" t="s">
        <v>391</v>
      </c>
      <c r="D143" s="135" t="s">
        <v>392</v>
      </c>
      <c r="E143" s="135" t="s">
        <v>393</v>
      </c>
      <c r="K143" s="136"/>
    </row>
    <row r="144" spans="1:11" x14ac:dyDescent="0.2">
      <c r="A144" s="135" t="str">
        <f>HLOOKUP(Intro!$B$7,$B:$I,ROW(A144),FALSE)</f>
        <v>Maand 11</v>
      </c>
      <c r="B144" s="135" t="s">
        <v>48</v>
      </c>
      <c r="C144" s="135" t="s">
        <v>394</v>
      </c>
      <c r="D144" s="135" t="s">
        <v>395</v>
      </c>
      <c r="E144" s="135" t="s">
        <v>396</v>
      </c>
    </row>
    <row r="145" spans="1:11" x14ac:dyDescent="0.2">
      <c r="A145" s="135" t="str">
        <f>HLOOKUP(Intro!$B$7,$B:$I,ROW(A145),FALSE)</f>
        <v>Maand 12</v>
      </c>
      <c r="B145" s="135" t="s">
        <v>49</v>
      </c>
      <c r="C145" s="135" t="s">
        <v>397</v>
      </c>
      <c r="D145" s="135" t="s">
        <v>398</v>
      </c>
      <c r="E145" s="135" t="s">
        <v>399</v>
      </c>
      <c r="K145" s="136"/>
    </row>
    <row r="146" spans="1:11" x14ac:dyDescent="0.2">
      <c r="A146" s="135" t="str">
        <f>HLOOKUP(Intro!$B$7,$B:$I,ROW(A146),FALSE)</f>
        <v>Maand 13</v>
      </c>
      <c r="B146" s="135" t="s">
        <v>1214</v>
      </c>
      <c r="C146" s="135" t="s">
        <v>1238</v>
      </c>
      <c r="K146" s="136"/>
    </row>
    <row r="147" spans="1:11" x14ac:dyDescent="0.2">
      <c r="A147" s="135" t="str">
        <f>HLOOKUP(Intro!$B$7,$B:$I,ROW(A147),FALSE)</f>
        <v>Maand 14</v>
      </c>
      <c r="B147" s="135" t="s">
        <v>1215</v>
      </c>
      <c r="C147" s="135" t="s">
        <v>1239</v>
      </c>
      <c r="K147" s="136"/>
    </row>
    <row r="148" spans="1:11" x14ac:dyDescent="0.2">
      <c r="A148" s="135" t="str">
        <f>HLOOKUP(Intro!$B$7,$B:$I,ROW(A148),FALSE)</f>
        <v>Maand 15</v>
      </c>
      <c r="B148" s="135" t="s">
        <v>1216</v>
      </c>
      <c r="C148" s="135" t="s">
        <v>1240</v>
      </c>
      <c r="K148" s="136"/>
    </row>
    <row r="149" spans="1:11" x14ac:dyDescent="0.2">
      <c r="A149" s="135" t="str">
        <f>HLOOKUP(Intro!$B$7,$B:$I,ROW(A149),FALSE)</f>
        <v>Maand 16</v>
      </c>
      <c r="B149" s="135" t="s">
        <v>1217</v>
      </c>
      <c r="C149" s="135" t="s">
        <v>1241</v>
      </c>
      <c r="K149" s="136"/>
    </row>
    <row r="150" spans="1:11" x14ac:dyDescent="0.2">
      <c r="A150" s="135" t="str">
        <f>HLOOKUP(Intro!$B$7,$B:$I,ROW(A150),FALSE)</f>
        <v>Maand 17</v>
      </c>
      <c r="B150" s="135" t="s">
        <v>1218</v>
      </c>
      <c r="C150" s="135" t="s">
        <v>1242</v>
      </c>
      <c r="K150" s="136"/>
    </row>
    <row r="151" spans="1:11" x14ac:dyDescent="0.2">
      <c r="A151" s="135" t="str">
        <f>HLOOKUP(Intro!$B$7,$B:$I,ROW(A151),FALSE)</f>
        <v>Maand 18</v>
      </c>
      <c r="B151" s="135" t="s">
        <v>1219</v>
      </c>
      <c r="C151" s="135" t="s">
        <v>1243</v>
      </c>
      <c r="K151" s="136"/>
    </row>
    <row r="152" spans="1:11" x14ac:dyDescent="0.2">
      <c r="A152" s="135" t="str">
        <f>HLOOKUP(Intro!$B$7,$B:$I,ROW(A152),FALSE)</f>
        <v>Maand 19</v>
      </c>
      <c r="B152" s="135" t="s">
        <v>1220</v>
      </c>
      <c r="C152" s="135" t="s">
        <v>1244</v>
      </c>
      <c r="K152" s="136"/>
    </row>
    <row r="153" spans="1:11" x14ac:dyDescent="0.2">
      <c r="A153" s="135" t="str">
        <f>HLOOKUP(Intro!$B$7,$B:$I,ROW(A153),FALSE)</f>
        <v>Maand 20</v>
      </c>
      <c r="B153" s="135" t="s">
        <v>1221</v>
      </c>
      <c r="C153" s="135" t="s">
        <v>1245</v>
      </c>
      <c r="K153" s="136"/>
    </row>
    <row r="154" spans="1:11" x14ac:dyDescent="0.2">
      <c r="A154" s="135" t="str">
        <f>HLOOKUP(Intro!$B$7,$B:$I,ROW(A154),FALSE)</f>
        <v>Maand 21</v>
      </c>
      <c r="B154" s="135" t="s">
        <v>1222</v>
      </c>
      <c r="C154" s="135" t="s">
        <v>1246</v>
      </c>
      <c r="K154" s="136"/>
    </row>
    <row r="155" spans="1:11" x14ac:dyDescent="0.2">
      <c r="A155" s="135" t="str">
        <f>HLOOKUP(Intro!$B$7,$B:$I,ROW(A155),FALSE)</f>
        <v>Maand 22</v>
      </c>
      <c r="B155" s="135" t="s">
        <v>1223</v>
      </c>
      <c r="C155" s="135" t="s">
        <v>1247</v>
      </c>
      <c r="K155" s="136"/>
    </row>
    <row r="156" spans="1:11" x14ac:dyDescent="0.2">
      <c r="A156" s="135" t="str">
        <f>HLOOKUP(Intro!$B$7,$B:$I,ROW(A156),FALSE)</f>
        <v>Maand 23</v>
      </c>
      <c r="B156" s="135" t="s">
        <v>1224</v>
      </c>
      <c r="C156" s="135" t="s">
        <v>1248</v>
      </c>
      <c r="K156" s="136"/>
    </row>
    <row r="157" spans="1:11" x14ac:dyDescent="0.2">
      <c r="A157" s="135" t="str">
        <f>HLOOKUP(Intro!$B$7,$B:$I,ROW(A157),FALSE)</f>
        <v>Maand 24</v>
      </c>
      <c r="B157" s="135" t="s">
        <v>1225</v>
      </c>
      <c r="C157" s="135" t="s">
        <v>1249</v>
      </c>
      <c r="K157" s="136"/>
    </row>
    <row r="158" spans="1:11" x14ac:dyDescent="0.2">
      <c r="A158" s="135" t="str">
        <f>HLOOKUP(Intro!$B$7,$B:$I,ROW(A158),FALSE)</f>
        <v>Maand 25</v>
      </c>
      <c r="B158" s="135" t="s">
        <v>1226</v>
      </c>
      <c r="C158" s="135" t="s">
        <v>1250</v>
      </c>
      <c r="K158" s="136"/>
    </row>
    <row r="159" spans="1:11" x14ac:dyDescent="0.2">
      <c r="A159" s="135" t="str">
        <f>HLOOKUP(Intro!$B$7,$B:$I,ROW(A159),FALSE)</f>
        <v>Maand 26</v>
      </c>
      <c r="B159" s="135" t="s">
        <v>1227</v>
      </c>
      <c r="C159" s="135" t="s">
        <v>1251</v>
      </c>
      <c r="K159" s="136"/>
    </row>
    <row r="160" spans="1:11" x14ac:dyDescent="0.2">
      <c r="A160" s="135" t="str">
        <f>HLOOKUP(Intro!$B$7,$B:$I,ROW(A160),FALSE)</f>
        <v>Maand 27</v>
      </c>
      <c r="B160" s="135" t="s">
        <v>1228</v>
      </c>
      <c r="C160" s="135" t="s">
        <v>1252</v>
      </c>
      <c r="K160" s="136"/>
    </row>
    <row r="161" spans="1:11" x14ac:dyDescent="0.2">
      <c r="A161" s="135" t="str">
        <f>HLOOKUP(Intro!$B$7,$B:$I,ROW(A161),FALSE)</f>
        <v>Maand 28</v>
      </c>
      <c r="B161" s="135" t="s">
        <v>1229</v>
      </c>
      <c r="C161" s="135" t="s">
        <v>1253</v>
      </c>
      <c r="K161" s="136"/>
    </row>
    <row r="162" spans="1:11" x14ac:dyDescent="0.2">
      <c r="A162" s="135" t="str">
        <f>HLOOKUP(Intro!$B$7,$B:$I,ROW(A162),FALSE)</f>
        <v>Maand 29</v>
      </c>
      <c r="B162" s="135" t="s">
        <v>1230</v>
      </c>
      <c r="C162" s="135" t="s">
        <v>1254</v>
      </c>
      <c r="K162" s="136"/>
    </row>
    <row r="163" spans="1:11" x14ac:dyDescent="0.2">
      <c r="A163" s="135" t="str">
        <f>HLOOKUP(Intro!$B$7,$B:$I,ROW(A163),FALSE)</f>
        <v>Maand 30</v>
      </c>
      <c r="B163" s="135" t="s">
        <v>1231</v>
      </c>
      <c r="C163" s="135" t="s">
        <v>1255</v>
      </c>
      <c r="K163" s="136"/>
    </row>
    <row r="164" spans="1:11" x14ac:dyDescent="0.2">
      <c r="A164" s="135" t="str">
        <f>HLOOKUP(Intro!$B$7,$B:$I,ROW(A164),FALSE)</f>
        <v>Maand 31</v>
      </c>
      <c r="B164" s="135" t="s">
        <v>1232</v>
      </c>
      <c r="C164" s="135" t="s">
        <v>1256</v>
      </c>
      <c r="K164" s="136"/>
    </row>
    <row r="165" spans="1:11" x14ac:dyDescent="0.2">
      <c r="A165" s="135" t="str">
        <f>HLOOKUP(Intro!$B$7,$B:$I,ROW(A165),FALSE)</f>
        <v>Maand 32</v>
      </c>
      <c r="B165" s="135" t="s">
        <v>1233</v>
      </c>
      <c r="C165" s="135" t="s">
        <v>1257</v>
      </c>
      <c r="K165" s="136"/>
    </row>
    <row r="166" spans="1:11" x14ac:dyDescent="0.2">
      <c r="A166" s="135" t="str">
        <f>HLOOKUP(Intro!$B$7,$B:$I,ROW(A166),FALSE)</f>
        <v>Maand 33</v>
      </c>
      <c r="B166" s="135" t="s">
        <v>1234</v>
      </c>
      <c r="C166" s="135" t="s">
        <v>1258</v>
      </c>
      <c r="K166" s="136"/>
    </row>
    <row r="167" spans="1:11" x14ac:dyDescent="0.2">
      <c r="A167" s="135" t="str">
        <f>HLOOKUP(Intro!$B$7,$B:$I,ROW(A167),FALSE)</f>
        <v>Maand 34</v>
      </c>
      <c r="B167" s="135" t="s">
        <v>1235</v>
      </c>
      <c r="C167" s="135" t="s">
        <v>1259</v>
      </c>
      <c r="K167" s="136"/>
    </row>
    <row r="168" spans="1:11" x14ac:dyDescent="0.2">
      <c r="A168" s="135" t="str">
        <f>HLOOKUP(Intro!$B$7,$B:$I,ROW(A168),FALSE)</f>
        <v>Maand 35</v>
      </c>
      <c r="B168" s="135" t="s">
        <v>1236</v>
      </c>
      <c r="C168" s="135" t="s">
        <v>1260</v>
      </c>
      <c r="K168" s="136"/>
    </row>
    <row r="169" spans="1:11" x14ac:dyDescent="0.2">
      <c r="A169" s="135" t="str">
        <f>HLOOKUP(Intro!$B$7,$B:$I,ROW(A169),FALSE)</f>
        <v>Maand 36</v>
      </c>
      <c r="B169" s="135" t="s">
        <v>1237</v>
      </c>
      <c r="C169" s="135" t="s">
        <v>1261</v>
      </c>
      <c r="K169" s="136"/>
    </row>
    <row r="170" spans="1:11" x14ac:dyDescent="0.2">
      <c r="A170" s="135" t="str">
        <f>HLOOKUP(Intro!$B$7,$B:$I,ROW(A170),FALSE)</f>
        <v>Privé: aftrekposten Belastingdienst</v>
      </c>
      <c r="B170" s="135" t="s">
        <v>1095</v>
      </c>
      <c r="C170" s="135" t="s">
        <v>1096</v>
      </c>
      <c r="K170" s="136"/>
    </row>
    <row r="171" spans="1:11" ht="25.5" x14ac:dyDescent="0.2">
      <c r="A171" s="135" t="str">
        <f>HLOOKUP(Intro!$B$7,$B:$I,ROW(A171),FALSE)</f>
        <v>Mag je ter vermindering van je belastbaar inkomen de onderstaande aftrekposten opvoeren?</v>
      </c>
      <c r="B171" s="135" t="s">
        <v>400</v>
      </c>
      <c r="C171" s="135" t="s">
        <v>401</v>
      </c>
      <c r="K171" s="136"/>
    </row>
    <row r="172" spans="1:11" x14ac:dyDescent="0.2">
      <c r="A172" s="135" t="str">
        <f>HLOOKUP(Intro!$B$7,$B:$I,ROW(A172),FALSE)</f>
        <v>Zelfstandigenaftrek</v>
      </c>
      <c r="B172" s="135" t="s">
        <v>402</v>
      </c>
      <c r="C172" s="135" t="s">
        <v>402</v>
      </c>
      <c r="K172" s="136"/>
    </row>
    <row r="173" spans="1:11" x14ac:dyDescent="0.2">
      <c r="A173" s="135" t="str">
        <f>HLOOKUP(Intro!$B$7,$B:$I,ROW(A173),FALSE)</f>
        <v>Startersaftrek</v>
      </c>
      <c r="B173" s="135" t="s">
        <v>56</v>
      </c>
      <c r="C173" s="135" t="s">
        <v>56</v>
      </c>
      <c r="K173" s="136"/>
    </row>
    <row r="174" spans="1:11" x14ac:dyDescent="0.2">
      <c r="A174" s="135" t="str">
        <f>HLOOKUP(Intro!$B$7,$B:$I,ROW(A174),FALSE)</f>
        <v>Meewerkaftrek</v>
      </c>
      <c r="B174" s="135" t="s">
        <v>57</v>
      </c>
      <c r="C174" s="135" t="s">
        <v>57</v>
      </c>
      <c r="K174" s="136"/>
    </row>
    <row r="175" spans="1:11" x14ac:dyDescent="0.2">
      <c r="A175" s="135" t="str">
        <f>HLOOKUP(Intro!$B$7,$B:$I,ROW(A175),FALSE)</f>
        <v>MKB-Winstvrijstelling</v>
      </c>
      <c r="B175" s="135" t="s">
        <v>403</v>
      </c>
      <c r="C175" s="135" t="s">
        <v>403</v>
      </c>
      <c r="K175" s="136"/>
    </row>
    <row r="176" spans="1:11" x14ac:dyDescent="0.2">
      <c r="A176" s="135" t="str">
        <f>HLOOKUP(Intro!$B$7,$B:$I,ROW(A176),FALSE)</f>
        <v>Investeringsaftrek</v>
      </c>
      <c r="B176" s="135" t="s">
        <v>404</v>
      </c>
      <c r="C176" s="135" t="s">
        <v>404</v>
      </c>
    </row>
    <row r="177" spans="1:11" x14ac:dyDescent="0.2">
      <c r="A177" s="135" t="str">
        <f>HLOOKUP(Intro!$B$7,$B:$I,ROW(A177),FALSE)</f>
        <v>Oudedagsreserve</v>
      </c>
      <c r="B177" s="135" t="s">
        <v>405</v>
      </c>
      <c r="C177" s="135" t="s">
        <v>405</v>
      </c>
      <c r="K177" s="136"/>
    </row>
    <row r="178" spans="1:11" x14ac:dyDescent="0.2">
      <c r="A178" s="135" t="str">
        <f>HLOOKUP(Intro!$B$7,$B:$I,ROW(A178),FALSE)</f>
        <v>Algemene heffingskorting</v>
      </c>
      <c r="B178" s="135" t="s">
        <v>406</v>
      </c>
      <c r="C178" s="135" t="s">
        <v>406</v>
      </c>
      <c r="K178" s="136"/>
    </row>
    <row r="179" spans="1:11" x14ac:dyDescent="0.2">
      <c r="A179" s="135" t="str">
        <f>HLOOKUP(Intro!$B$7,$B:$I,ROW(A179),FALSE)</f>
        <v>Arbeidskorting</v>
      </c>
      <c r="B179" s="135" t="s">
        <v>407</v>
      </c>
      <c r="C179" s="135" t="s">
        <v>407</v>
      </c>
      <c r="K179" s="136"/>
    </row>
    <row r="180" spans="1:11" x14ac:dyDescent="0.2">
      <c r="K180" s="136"/>
    </row>
    <row r="181" spans="1:11" ht="15" x14ac:dyDescent="0.25">
      <c r="A181" s="135" t="str">
        <f>HLOOKUP(Intro!$B$7,$B:$I,ROW(A181),FALSE)</f>
        <v>Privébegroting</v>
      </c>
      <c r="B181" s="146" t="s">
        <v>1277</v>
      </c>
      <c r="K181" s="136"/>
    </row>
    <row r="182" spans="1:11" x14ac:dyDescent="0.2">
      <c r="A182" s="135" t="str">
        <f>HLOOKUP(Intro!$B$7,$B:$I,ROW(A182),FALSE)</f>
        <v xml:space="preserve">Privébegroting </v>
      </c>
      <c r="B182" s="135" t="s">
        <v>1292</v>
      </c>
      <c r="K182" s="136"/>
    </row>
    <row r="183" spans="1:11" x14ac:dyDescent="0.2">
      <c r="A183" s="135" t="str">
        <f>HLOOKUP(Intro!$B$7,$B:$I,ROW(A183),FALSE)</f>
        <v>Uitgaven</v>
      </c>
      <c r="B183" s="135" t="s">
        <v>597</v>
      </c>
      <c r="K183" s="136"/>
    </row>
    <row r="184" spans="1:11" x14ac:dyDescent="0.2">
      <c r="A184" s="135" t="str">
        <f>HLOOKUP(Intro!$B$7,$B:$I,ROW(A184),FALSE)</f>
        <v>Huur/aflossing woning</v>
      </c>
      <c r="B184" s="135" t="s">
        <v>1293</v>
      </c>
      <c r="K184" s="136"/>
    </row>
    <row r="185" spans="1:11" x14ac:dyDescent="0.2">
      <c r="A185" s="135" t="str">
        <f>HLOOKUP(Intro!$B$7,$B:$I,ROW(A185),FALSE)</f>
        <v>Gas, water en elektriciteit</v>
      </c>
      <c r="B185" s="135" t="str">
        <f t="shared" ref="B185:B193" si="0">B60</f>
        <v>Gas, water en elektriciteit</v>
      </c>
      <c r="K185" s="136"/>
    </row>
    <row r="186" spans="1:11" x14ac:dyDescent="0.2">
      <c r="A186" s="135" t="str">
        <f>HLOOKUP(Intro!$B$7,$B:$I,ROW(A186),FALSE)</f>
        <v>Duurzame consumptiegoederen</v>
      </c>
      <c r="B186" s="135" t="str">
        <f t="shared" si="0"/>
        <v>Duurzame consumptiegoederen</v>
      </c>
      <c r="K186" s="136"/>
    </row>
    <row r="187" spans="1:11" x14ac:dyDescent="0.2">
      <c r="A187" s="135" t="str">
        <f>HLOOKUP(Intro!$B$7,$B:$I,ROW(A187),FALSE)</f>
        <v>Ziektekostenverzekering</v>
      </c>
      <c r="B187" s="135" t="str">
        <f t="shared" si="0"/>
        <v>Ziektekostenverzekering</v>
      </c>
      <c r="K187" s="136"/>
    </row>
    <row r="188" spans="1:11" x14ac:dyDescent="0.2">
      <c r="A188" s="135" t="str">
        <f>HLOOKUP(Intro!$B$7,$B:$I,ROW(A188),FALSE)</f>
        <v>Overige verzekeringen (inboedel, WA, e.d.)</v>
      </c>
      <c r="B188" s="135" t="str">
        <f t="shared" si="0"/>
        <v>Overige verzekeringen (inboedel, WA, e.d.)</v>
      </c>
      <c r="K188" s="136"/>
    </row>
    <row r="189" spans="1:11" x14ac:dyDescent="0.2">
      <c r="A189" s="135" t="str">
        <f>HLOOKUP(Intro!$B$7,$B:$I,ROW(A189),FALSE)</f>
        <v>Vervoer (brandstof, onderhoud, abonnement)</v>
      </c>
      <c r="B189" s="135" t="str">
        <f t="shared" si="0"/>
        <v>Vervoer (brandstof, onderhoud, abonnement)</v>
      </c>
      <c r="K189" s="136"/>
    </row>
    <row r="190" spans="1:11" x14ac:dyDescent="0.2">
      <c r="A190" s="135" t="str">
        <f>HLOOKUP(Intro!$B$7,$B:$I,ROW(A190),FALSE)</f>
        <v>Huishoudelijke uitgaven (voeding, kleding, sport)</v>
      </c>
      <c r="B190" s="135" t="str">
        <f t="shared" si="0"/>
        <v>Huishoudelijke uitgaven (voeding, kleding, sport)</v>
      </c>
      <c r="K190" s="136"/>
    </row>
    <row r="191" spans="1:11" x14ac:dyDescent="0.2">
      <c r="A191" s="135" t="str">
        <f>HLOOKUP(Intro!$B$7,$B:$I,ROW(A191),FALSE)</f>
        <v>Vakantie en recreatie</v>
      </c>
      <c r="B191" s="135" t="str">
        <f t="shared" si="0"/>
        <v>Vakantie en recreatie</v>
      </c>
      <c r="K191" s="136"/>
    </row>
    <row r="192" spans="1:11" x14ac:dyDescent="0.2">
      <c r="A192" s="135" t="str">
        <f>HLOOKUP(Intro!$B$7,$B:$I,ROW(A192),FALSE)</f>
        <v>Opleiding, studiekosten en opvang kinderen</v>
      </c>
      <c r="B192" s="135" t="str">
        <f t="shared" si="0"/>
        <v>Opleiding, studiekosten en opvang kinderen</v>
      </c>
      <c r="K192" s="136"/>
    </row>
    <row r="193" spans="1:11" x14ac:dyDescent="0.2">
      <c r="A193" s="135" t="str">
        <f>HLOOKUP(Intro!$B$7,$B:$I,ROW(A193),FALSE)</f>
        <v>Aflossing en rente privélening (geen hypotheek)</v>
      </c>
      <c r="B193" s="135" t="str">
        <f t="shared" si="0"/>
        <v>Aflossing en rente privélening (geen hypotheek)</v>
      </c>
      <c r="K193" s="136"/>
    </row>
    <row r="194" spans="1:11" x14ac:dyDescent="0.2">
      <c r="A194" s="135" t="str">
        <f>HLOOKUP(Intro!$B$7,$B:$I,ROW(A194),FALSE)</f>
        <v>Overige uitgaven</v>
      </c>
      <c r="B194" s="472" t="s">
        <v>1294</v>
      </c>
      <c r="K194" s="136"/>
    </row>
    <row r="195" spans="1:11" x14ac:dyDescent="0.2">
      <c r="A195" s="135" t="str">
        <f>HLOOKUP(Intro!$B$7,$B:$I,ROW(A195),FALSE)</f>
        <v>Totaal uitgaven</v>
      </c>
      <c r="B195" s="135" t="s">
        <v>1278</v>
      </c>
      <c r="K195" s="136"/>
    </row>
    <row r="196" spans="1:11" x14ac:dyDescent="0.2">
      <c r="A196" s="135" t="str">
        <f>HLOOKUP(Intro!$B$7,$B:$I,ROW(A196),FALSE)</f>
        <v>Ontvangsten</v>
      </c>
      <c r="B196" s="135" t="s">
        <v>574</v>
      </c>
      <c r="K196" s="136"/>
    </row>
    <row r="197" spans="1:11" x14ac:dyDescent="0.2">
      <c r="A197" s="135" t="str">
        <f>HLOOKUP(Intro!$B$7,$B:$I,ROW(A197),FALSE)</f>
        <v>Salaris</v>
      </c>
      <c r="B197" s="135" t="s">
        <v>1279</v>
      </c>
      <c r="K197" s="136"/>
    </row>
    <row r="198" spans="1:11" x14ac:dyDescent="0.2">
      <c r="A198" s="135" t="str">
        <f>HLOOKUP(Intro!$B$7,$B:$I,ROW(A198),FALSE)</f>
        <v>Uitkering</v>
      </c>
      <c r="B198" s="135" t="s">
        <v>904</v>
      </c>
      <c r="K198" s="136"/>
    </row>
    <row r="199" spans="1:11" x14ac:dyDescent="0.2">
      <c r="A199" s="135" t="str">
        <f>HLOOKUP(Intro!$B$7,$B:$I,ROW(A199),FALSE)</f>
        <v>Inkomen partner</v>
      </c>
      <c r="B199" s="135" t="s">
        <v>1280</v>
      </c>
      <c r="K199" s="136"/>
    </row>
    <row r="200" spans="1:11" x14ac:dyDescent="0.2">
      <c r="A200" s="135" t="str">
        <f>HLOOKUP(Intro!$B$7,$B:$I,ROW(A200),FALSE)</f>
        <v>Toeslagen</v>
      </c>
      <c r="B200" s="135" t="s">
        <v>1281</v>
      </c>
      <c r="K200" s="136"/>
    </row>
    <row r="201" spans="1:11" x14ac:dyDescent="0.2">
      <c r="A201" s="135" t="str">
        <f>HLOOKUP(Intro!$B$7,$B:$I,ROW(A201),FALSE)</f>
        <v>Totale inkomsten</v>
      </c>
      <c r="B201" s="472" t="s">
        <v>1282</v>
      </c>
      <c r="K201" s="136"/>
    </row>
    <row r="202" spans="1:11" x14ac:dyDescent="0.2">
      <c r="A202" s="135" t="str">
        <f>HLOOKUP(Intro!$B$7,$B:$I,ROW(A202),FALSE)</f>
        <v>Dit geld heb je elke maand nodig uit je bedrijf om van te leven</v>
      </c>
      <c r="B202" t="s">
        <v>1283</v>
      </c>
      <c r="K202" s="136"/>
    </row>
    <row r="203" spans="1:11" x14ac:dyDescent="0.2">
      <c r="A203" s="135" t="str">
        <f>HLOOKUP(Intro!$B$7,$B:$I,ROW(A203),FALSE)</f>
        <v>Vermogen</v>
      </c>
      <c r="B203" s="135" t="s">
        <v>1284</v>
      </c>
      <c r="K203" s="136"/>
    </row>
    <row r="204" spans="1:11" x14ac:dyDescent="0.2">
      <c r="A204" s="135" t="str">
        <f>HLOOKUP(Intro!$B$7,$B:$I,ROW(A204),FALSE)</f>
        <v>WOZ-waarde koopwoning</v>
      </c>
      <c r="B204" s="472" t="s">
        <v>1295</v>
      </c>
      <c r="K204" s="136"/>
    </row>
    <row r="205" spans="1:11" x14ac:dyDescent="0.2">
      <c r="A205" s="135" t="str">
        <f>HLOOKUP(Intro!$B$7,$B:$I,ROW(A205),FALSE)</f>
        <v>Spaargeld</v>
      </c>
      <c r="B205" s="135" t="s">
        <v>1188</v>
      </c>
      <c r="K205" s="136"/>
    </row>
    <row r="206" spans="1:11" x14ac:dyDescent="0.2">
      <c r="A206" s="135" t="s">
        <v>1296</v>
      </c>
      <c r="B206" s="135" t="s">
        <v>1285</v>
      </c>
      <c r="K206" s="136"/>
    </row>
    <row r="207" spans="1:11" x14ac:dyDescent="0.2">
      <c r="A207" s="135" t="str">
        <f>HLOOKUP(Intro!$B$7,$B:$I,ROW(A207),FALSE)</f>
        <v>Totaal vermogen</v>
      </c>
      <c r="B207" s="135" t="s">
        <v>1286</v>
      </c>
      <c r="K207" s="136"/>
    </row>
    <row r="208" spans="1:11" x14ac:dyDescent="0.2">
      <c r="A208" s="135" t="str">
        <f>HLOOKUP(Intro!$B$7,$B:$I,ROW(A208),FALSE)</f>
        <v>Schulden</v>
      </c>
      <c r="B208" s="135" t="s">
        <v>1287</v>
      </c>
      <c r="K208" s="136"/>
    </row>
    <row r="209" spans="1:11" x14ac:dyDescent="0.2">
      <c r="A209" s="135" t="str">
        <f>HLOOKUP(Intro!$B$7,$B:$I,ROW(A209),FALSE)</f>
        <v>Hypotheek</v>
      </c>
      <c r="B209" s="135" t="s">
        <v>1288</v>
      </c>
      <c r="K209" s="136"/>
    </row>
    <row r="210" spans="1:11" x14ac:dyDescent="0.2">
      <c r="A210" s="135" t="str">
        <f>HLOOKUP(Intro!$B$7,$B:$I,ROW(A210),FALSE)</f>
        <v>Overige schulden</v>
      </c>
      <c r="B210" s="135" t="s">
        <v>1297</v>
      </c>
      <c r="K210" s="136"/>
    </row>
    <row r="211" spans="1:11" x14ac:dyDescent="0.2">
      <c r="A211" s="135" t="str">
        <f>HLOOKUP(Intro!$B$7,$B:$I,ROW(A211),FALSE)</f>
        <v>Totale schulden</v>
      </c>
      <c r="B211" s="135" t="s">
        <v>1289</v>
      </c>
      <c r="K211" s="136"/>
    </row>
    <row r="212" spans="1:11" x14ac:dyDescent="0.2">
      <c r="A212" s="135" t="str">
        <f>HLOOKUP(Intro!$B$7,$B:$I,ROW(A212),FALSE)</f>
        <v>Per maand</v>
      </c>
      <c r="B212" s="135" t="s">
        <v>1290</v>
      </c>
      <c r="K212" s="136"/>
    </row>
    <row r="213" spans="1:11" x14ac:dyDescent="0.2">
      <c r="A213" s="135" t="str">
        <f>HLOOKUP(Intro!$B$7,$B:$I,ROW(A213),FALSE)</f>
        <v>Per jaar</v>
      </c>
      <c r="B213" s="135" t="s">
        <v>1291</v>
      </c>
      <c r="K213" s="136"/>
    </row>
    <row r="214" spans="1:11" x14ac:dyDescent="0.2">
      <c r="K214" s="136"/>
    </row>
    <row r="215" spans="1:11" s="136" customFormat="1" ht="15" x14ac:dyDescent="0.25">
      <c r="A215" s="146" t="str">
        <f>HLOOKUP(Intro!$B$7,$B:$I,ROW(A215),FALSE)</f>
        <v>Investering &amp; Financiering</v>
      </c>
      <c r="B215" s="146" t="s">
        <v>414</v>
      </c>
      <c r="C215" s="146" t="s">
        <v>415</v>
      </c>
      <c r="D215" s="146" t="s">
        <v>416</v>
      </c>
      <c r="E215" s="146" t="s">
        <v>417</v>
      </c>
      <c r="F215" s="135"/>
      <c r="G215" s="135"/>
      <c r="H215" s="135"/>
      <c r="I215" s="135"/>
      <c r="J215" s="135"/>
      <c r="K215" s="135"/>
    </row>
    <row r="216" spans="1:11" x14ac:dyDescent="0.2">
      <c r="A216" s="135" t="str">
        <f>HLOOKUP(Intro!$B$7,$B:$I,ROW(A216),FALSE)</f>
        <v xml:space="preserve">Investerings- &amp; Financieringsbegroting </v>
      </c>
      <c r="B216" s="135" t="s">
        <v>418</v>
      </c>
      <c r="C216" s="135" t="s">
        <v>419</v>
      </c>
      <c r="D216" s="135" t="s">
        <v>420</v>
      </c>
      <c r="E216" s="135" t="s">
        <v>421</v>
      </c>
    </row>
    <row r="217" spans="1:11" x14ac:dyDescent="0.2">
      <c r="A217" s="135" t="str">
        <f>HLOOKUP(Intro!$B$7,$B:$I,ROW(A217),FALSE)</f>
        <v>Vaste activa (excl. btw)</v>
      </c>
      <c r="B217" s="135" t="s">
        <v>1122</v>
      </c>
      <c r="C217" s="135" t="s">
        <v>422</v>
      </c>
      <c r="D217" s="135" t="s">
        <v>423</v>
      </c>
      <c r="E217" s="135" t="s">
        <v>424</v>
      </c>
    </row>
    <row r="218" spans="1:11" x14ac:dyDescent="0.2">
      <c r="A218" s="135" t="str">
        <f>HLOOKUP(Intro!$B$7,$B:$I,ROW(A218),FALSE)</f>
        <v>Aankoop onroerend goed</v>
      </c>
      <c r="B218" s="135" t="s">
        <v>246</v>
      </c>
      <c r="C218" s="135" t="s">
        <v>247</v>
      </c>
    </row>
    <row r="219" spans="1:11" x14ac:dyDescent="0.2">
      <c r="A219" s="135" t="str">
        <f>HLOOKUP(Intro!$B$7,$B:$I,ROW(A219),FALSE)</f>
        <v xml:space="preserve">Verbouwing </v>
      </c>
      <c r="B219" s="135" t="s">
        <v>425</v>
      </c>
      <c r="C219" s="135" t="s">
        <v>426</v>
      </c>
      <c r="D219" s="135" t="s">
        <v>427</v>
      </c>
      <c r="E219" s="135" t="s">
        <v>428</v>
      </c>
    </row>
    <row r="220" spans="1:11" x14ac:dyDescent="0.2">
      <c r="A220" s="135" t="str">
        <f>HLOOKUP(Intro!$B$7,$B:$I,ROW(A220),FALSE)</f>
        <v>Inventaris en inrichting</v>
      </c>
      <c r="B220" s="135" t="s">
        <v>429</v>
      </c>
      <c r="C220" s="135" t="s">
        <v>430</v>
      </c>
      <c r="D220" s="135" t="s">
        <v>431</v>
      </c>
      <c r="E220" s="135" t="s">
        <v>432</v>
      </c>
    </row>
    <row r="221" spans="1:11" x14ac:dyDescent="0.2">
      <c r="A221" s="135" t="str">
        <f>HLOOKUP(Intro!$B$7,$B:$I,ROW(A221),FALSE)</f>
        <v>Computer en software</v>
      </c>
      <c r="B221" s="135" t="s">
        <v>433</v>
      </c>
      <c r="C221" s="135" t="s">
        <v>434</v>
      </c>
      <c r="D221" s="135" t="s">
        <v>435</v>
      </c>
      <c r="E221" s="135" t="s">
        <v>436</v>
      </c>
    </row>
    <row r="222" spans="1:11" x14ac:dyDescent="0.2">
      <c r="A222" s="135" t="str">
        <f>HLOOKUP(Intro!$B$7,$B:$I,ROW(A222),FALSE)</f>
        <v>Transportmiddel</v>
      </c>
      <c r="B222" s="135" t="s">
        <v>261</v>
      </c>
      <c r="C222" s="135" t="s">
        <v>1067</v>
      </c>
      <c r="D222" s="135" t="s">
        <v>262</v>
      </c>
      <c r="E222" s="135" t="s">
        <v>437</v>
      </c>
    </row>
    <row r="223" spans="1:11" x14ac:dyDescent="0.2">
      <c r="A223" s="135" t="str">
        <f>HLOOKUP(Intro!$B$7,$B:$I,ROW(A223),FALSE)</f>
        <v>Goodwill/Franchisefee/Huurgarantie</v>
      </c>
      <c r="B223" s="135" t="s">
        <v>438</v>
      </c>
      <c r="C223" s="135" t="s">
        <v>439</v>
      </c>
      <c r="D223" s="135" t="s">
        <v>440</v>
      </c>
      <c r="E223" s="135" t="s">
        <v>441</v>
      </c>
    </row>
    <row r="224" spans="1:11" x14ac:dyDescent="0.2">
      <c r="A224" s="135" t="str">
        <f>HLOOKUP(Intro!$B$7,$B:$I,ROW(A224),FALSE)</f>
        <v>Vlottende activa (excl. btw)</v>
      </c>
      <c r="B224" s="135" t="s">
        <v>1123</v>
      </c>
      <c r="C224" s="135" t="s">
        <v>442</v>
      </c>
      <c r="D224" s="135" t="s">
        <v>443</v>
      </c>
      <c r="E224" s="135" t="s">
        <v>424</v>
      </c>
    </row>
    <row r="225" spans="1:5" x14ac:dyDescent="0.2">
      <c r="A225" s="135" t="str">
        <f>HLOOKUP(Intro!$B$7,$B:$I,ROW(A225),FALSE)</f>
        <v>Startvoorraad</v>
      </c>
      <c r="B225" s="135" t="s">
        <v>444</v>
      </c>
      <c r="C225" s="135" t="s">
        <v>445</v>
      </c>
      <c r="D225" s="135" t="s">
        <v>446</v>
      </c>
      <c r="E225" s="135" t="s">
        <v>447</v>
      </c>
    </row>
    <row r="226" spans="1:5" x14ac:dyDescent="0.2">
      <c r="A226" s="135" t="str">
        <f>HLOOKUP(Intro!$B$7,$B:$I,ROW(A226),FALSE)</f>
        <v>Promotie- en aanloopkosten</v>
      </c>
      <c r="B226" s="135" t="s">
        <v>1166</v>
      </c>
      <c r="C226" s="135" t="s">
        <v>448</v>
      </c>
      <c r="D226" s="135" t="s">
        <v>449</v>
      </c>
      <c r="E226" s="135" t="s">
        <v>450</v>
      </c>
    </row>
    <row r="227" spans="1:5" x14ac:dyDescent="0.2">
      <c r="A227" s="135" t="str">
        <f>HLOOKUP(Intro!$B$7,$B:$I,ROW(A227),FALSE)</f>
        <v>Btw over investeringen</v>
      </c>
      <c r="B227" s="135" t="s">
        <v>1124</v>
      </c>
      <c r="C227" s="135" t="s">
        <v>283</v>
      </c>
      <c r="D227" s="135" t="s">
        <v>284</v>
      </c>
      <c r="E227" s="135" t="s">
        <v>285</v>
      </c>
    </row>
    <row r="228" spans="1:5" x14ac:dyDescent="0.2">
      <c r="A228" s="135" t="str">
        <f>HLOOKUP(Intro!$B$7,$B:$I,ROW(A228),FALSE)</f>
        <v>Kas (reserve)</v>
      </c>
      <c r="B228" s="135" t="s">
        <v>451</v>
      </c>
      <c r="C228" s="135" t="s">
        <v>452</v>
      </c>
      <c r="D228" s="135" t="s">
        <v>453</v>
      </c>
      <c r="E228" s="135" t="s">
        <v>454</v>
      </c>
    </row>
    <row r="229" spans="1:5" x14ac:dyDescent="0.2">
      <c r="A229" s="135" t="str">
        <f>HLOOKUP(Intro!$B$7,$B:$I,ROW(A229),FALSE)</f>
        <v>Totaal investeringsbedrag</v>
      </c>
      <c r="B229" s="135" t="s">
        <v>455</v>
      </c>
      <c r="C229" s="135" t="s">
        <v>456</v>
      </c>
      <c r="D229" s="135" t="s">
        <v>457</v>
      </c>
      <c r="E229" s="135" t="s">
        <v>458</v>
      </c>
    </row>
    <row r="230" spans="1:5" x14ac:dyDescent="0.2">
      <c r="A230" s="135" t="str">
        <f>HLOOKUP(Intro!$B$7,$B:$I,ROW(A230),FALSE)</f>
        <v>In bezit</v>
      </c>
      <c r="B230" s="135" t="s">
        <v>459</v>
      </c>
      <c r="C230" s="135" t="s">
        <v>460</v>
      </c>
      <c r="D230" s="135" t="s">
        <v>461</v>
      </c>
      <c r="E230" s="135" t="s">
        <v>462</v>
      </c>
    </row>
    <row r="231" spans="1:5" x14ac:dyDescent="0.2">
      <c r="A231" s="135" t="str">
        <f>HLOOKUP(Intro!$B$7,$B:$I,ROW(A231),FALSE)</f>
        <v>Investeren</v>
      </c>
      <c r="B231" s="135" t="s">
        <v>463</v>
      </c>
      <c r="C231" s="135" t="s">
        <v>464</v>
      </c>
      <c r="D231" s="135" t="s">
        <v>465</v>
      </c>
      <c r="E231" s="135" t="s">
        <v>466</v>
      </c>
    </row>
    <row r="232" spans="1:5" x14ac:dyDescent="0.2">
      <c r="A232" s="135" t="str">
        <f>HLOOKUP(Intro!$B$7,$B:$I,ROW(A232),FALSE)</f>
        <v>Totaal</v>
      </c>
      <c r="B232" s="135" t="s">
        <v>52</v>
      </c>
      <c r="C232" s="135" t="s">
        <v>467</v>
      </c>
      <c r="D232" s="135" t="s">
        <v>467</v>
      </c>
      <c r="E232" s="135" t="s">
        <v>467</v>
      </c>
    </row>
    <row r="233" spans="1:5" x14ac:dyDescent="0.2">
      <c r="A233" s="135" t="str">
        <f>HLOOKUP(Intro!$B$7,$B:$I,ROW(A233),FALSE)</f>
        <v>Eigen inbreng</v>
      </c>
      <c r="B233" s="135" t="s">
        <v>468</v>
      </c>
      <c r="C233" s="135" t="s">
        <v>469</v>
      </c>
      <c r="D233" s="135" t="s">
        <v>470</v>
      </c>
      <c r="E233" s="135" t="s">
        <v>471</v>
      </c>
    </row>
    <row r="234" spans="1:5" x14ac:dyDescent="0.2">
      <c r="A234" s="135" t="str">
        <f>HLOOKUP(Intro!$B$7,$B:$I,ROW(A234),FALSE)</f>
        <v>Activa in bezit</v>
      </c>
      <c r="B234" s="135" t="s">
        <v>472</v>
      </c>
      <c r="C234" s="135" t="s">
        <v>473</v>
      </c>
      <c r="D234" s="135" t="s">
        <v>474</v>
      </c>
      <c r="E234" s="135" t="s">
        <v>475</v>
      </c>
    </row>
    <row r="235" spans="1:5" x14ac:dyDescent="0.2">
      <c r="A235" s="135" t="str">
        <f>HLOOKUP(Intro!$B$7,$B:$I,ROW(A235),FALSE)</f>
        <v>Spaargeld</v>
      </c>
      <c r="B235" s="135" t="s">
        <v>1188</v>
      </c>
      <c r="C235" s="135" t="s">
        <v>476</v>
      </c>
      <c r="D235" s="135" t="s">
        <v>477</v>
      </c>
      <c r="E235" s="135" t="s">
        <v>478</v>
      </c>
    </row>
    <row r="236" spans="1:5" x14ac:dyDescent="0.2">
      <c r="A236" s="135" t="str">
        <f>HLOOKUP(Intro!$B$7,$B:$I,ROW(A236),FALSE)</f>
        <v>Leningen (familie/vrienden)</v>
      </c>
      <c r="B236" s="135" t="s">
        <v>1207</v>
      </c>
      <c r="C236" s="135" t="s">
        <v>479</v>
      </c>
      <c r="D236" s="135" t="s">
        <v>480</v>
      </c>
      <c r="E236" s="135" t="s">
        <v>481</v>
      </c>
    </row>
    <row r="237" spans="1:5" x14ac:dyDescent="0.2">
      <c r="A237" s="135" t="str">
        <f>HLOOKUP(Intro!$B$7,$B:$I,ROW(A237),FALSE)</f>
        <v>Totaal eigen vermogen</v>
      </c>
      <c r="B237" s="135" t="s">
        <v>482</v>
      </c>
      <c r="C237" s="135" t="s">
        <v>483</v>
      </c>
      <c r="D237" s="135" t="s">
        <v>484</v>
      </c>
      <c r="E237" s="135" t="s">
        <v>485</v>
      </c>
    </row>
    <row r="238" spans="1:5" x14ac:dyDescent="0.2">
      <c r="A238" s="135" t="str">
        <f>HLOOKUP(Intro!$B$7,$B:$I,ROW(A238),FALSE)</f>
        <v>Financiering</v>
      </c>
      <c r="B238" s="135" t="s">
        <v>486</v>
      </c>
      <c r="C238" s="135" t="s">
        <v>291</v>
      </c>
      <c r="D238" s="135" t="s">
        <v>487</v>
      </c>
      <c r="E238" s="135" t="s">
        <v>293</v>
      </c>
    </row>
    <row r="239" spans="1:5" x14ac:dyDescent="0.2">
      <c r="A239" s="135" t="str">
        <f>HLOOKUP(Intro!$B$7,$B:$I,ROW(A239),FALSE)</f>
        <v>Financiering overig</v>
      </c>
      <c r="B239" s="135" t="s">
        <v>488</v>
      </c>
      <c r="C239" s="135" t="s">
        <v>489</v>
      </c>
      <c r="D239" s="135" t="s">
        <v>490</v>
      </c>
      <c r="E239" s="135" t="s">
        <v>491</v>
      </c>
    </row>
    <row r="240" spans="1:5" x14ac:dyDescent="0.2">
      <c r="A240" s="135" t="str">
        <f>HLOOKUP(Intro!$B$7,$B:$I,ROW(A240),FALSE)</f>
        <v>Financiering kredietverstrekker</v>
      </c>
      <c r="B240" s="135" t="s">
        <v>492</v>
      </c>
      <c r="C240" s="135" t="s">
        <v>493</v>
      </c>
      <c r="D240" s="135" t="s">
        <v>494</v>
      </c>
      <c r="E240" s="135" t="s">
        <v>495</v>
      </c>
    </row>
    <row r="241" spans="1:5" x14ac:dyDescent="0.2">
      <c r="A241" s="135" t="str">
        <f>HLOOKUP(Intro!$B$7,$B:$I,ROW(A241),FALSE)</f>
        <v>Totaal vreemd vermogen</v>
      </c>
      <c r="B241" s="135" t="s">
        <v>496</v>
      </c>
      <c r="C241" s="135" t="s">
        <v>497</v>
      </c>
      <c r="D241" s="135" t="s">
        <v>498</v>
      </c>
      <c r="E241" s="135" t="s">
        <v>499</v>
      </c>
    </row>
    <row r="242" spans="1:5" x14ac:dyDescent="0.2">
      <c r="A242" s="135" t="str">
        <f>HLOOKUP(Intro!$B$7,$B:$I,ROW(A242),FALSE)</f>
        <v>Totaal</v>
      </c>
      <c r="B242" s="135" t="s">
        <v>52</v>
      </c>
      <c r="C242" s="135" t="s">
        <v>467</v>
      </c>
      <c r="D242" s="135" t="s">
        <v>467</v>
      </c>
      <c r="E242" s="135" t="s">
        <v>467</v>
      </c>
    </row>
    <row r="243" spans="1:5" x14ac:dyDescent="0.2">
      <c r="A243" s="135" t="str">
        <f>HLOOKUP(Intro!$B$7,$B:$I,ROW(A243),FALSE)</f>
        <v>Lening Qredits</v>
      </c>
      <c r="B243" s="135" t="s">
        <v>500</v>
      </c>
      <c r="C243" s="135" t="s">
        <v>501</v>
      </c>
      <c r="D243" s="135" t="s">
        <v>502</v>
      </c>
      <c r="E243" s="135" t="s">
        <v>503</v>
      </c>
    </row>
    <row r="244" spans="1:5" x14ac:dyDescent="0.2">
      <c r="A244" s="135" t="str">
        <f>HLOOKUP(Intro!$B$7,$B:$I,ROW(A244),FALSE)</f>
        <v>In hoeveel jaar wil je de lening terugbetalen?</v>
      </c>
      <c r="B244" s="135" t="s">
        <v>1189</v>
      </c>
      <c r="C244" s="135" t="s">
        <v>504</v>
      </c>
      <c r="D244" s="135" t="s">
        <v>505</v>
      </c>
      <c r="E244" s="135" t="s">
        <v>506</v>
      </c>
    </row>
    <row r="245" spans="1:5" x14ac:dyDescent="0.2">
      <c r="A245" s="135" t="str">
        <f>HLOOKUP(Intro!$B$7,$B:$I,ROW(A245),FALSE)</f>
        <v>Na hoeveel maanden wil je beginnen met aflossen?</v>
      </c>
      <c r="B245" s="135" t="s">
        <v>1190</v>
      </c>
      <c r="C245" s="135" t="s">
        <v>507</v>
      </c>
      <c r="D245" s="135" t="s">
        <v>508</v>
      </c>
      <c r="E245" s="135" t="s">
        <v>509</v>
      </c>
    </row>
    <row r="246" spans="1:5" x14ac:dyDescent="0.2">
      <c r="A246" s="135" t="str">
        <f>HLOOKUP(Intro!$B$7,$B:$I,ROW(A246),FALSE)</f>
        <v>Hoe wil je aflossen?</v>
      </c>
      <c r="B246" s="135" t="s">
        <v>1191</v>
      </c>
      <c r="C246" s="135" t="s">
        <v>510</v>
      </c>
    </row>
    <row r="247" spans="1:5" x14ac:dyDescent="0.2">
      <c r="A247" s="135" t="str">
        <f>HLOOKUP(Intro!$B$7,$B:$I,ROW(A247),FALSE)</f>
        <v>Selecteer:</v>
      </c>
      <c r="B247" s="135" t="s">
        <v>51</v>
      </c>
      <c r="C247" s="135" t="s">
        <v>511</v>
      </c>
      <c r="D247" s="135" t="s">
        <v>512</v>
      </c>
      <c r="E247" s="135" t="s">
        <v>409</v>
      </c>
    </row>
    <row r="248" spans="1:5" x14ac:dyDescent="0.2">
      <c r="A248" s="135" t="str">
        <f>HLOOKUP(Intro!$B$7,$B:$I,ROW(A248),FALSE)</f>
        <v xml:space="preserve">  jaren</v>
      </c>
      <c r="B248" s="135" t="s">
        <v>513</v>
      </c>
      <c r="C248" s="135" t="s">
        <v>514</v>
      </c>
      <c r="D248" s="135" t="s">
        <v>515</v>
      </c>
      <c r="E248" s="135" t="s">
        <v>516</v>
      </c>
    </row>
    <row r="249" spans="1:5" x14ac:dyDescent="0.2">
      <c r="A249" s="135" t="str">
        <f>HLOOKUP(Intro!$B$7,$B:$I,ROW(A249),FALSE)</f>
        <v xml:space="preserve">  maanden</v>
      </c>
      <c r="B249" s="135" t="s">
        <v>517</v>
      </c>
      <c r="C249" s="135" t="s">
        <v>518</v>
      </c>
      <c r="D249" s="135" t="s">
        <v>519</v>
      </c>
      <c r="E249" s="135" t="s">
        <v>520</v>
      </c>
    </row>
    <row r="250" spans="1:5" x14ac:dyDescent="0.2">
      <c r="A250" s="135" t="str">
        <f>HLOOKUP(Intro!$B$7,$B:$I,ROW(A250),FALSE)</f>
        <v>vast bedrag voor rente en aflossing</v>
      </c>
      <c r="B250" s="135" t="s">
        <v>1022</v>
      </c>
      <c r="C250" s="135" t="s">
        <v>1023</v>
      </c>
    </row>
    <row r="251" spans="1:5" x14ac:dyDescent="0.2">
      <c r="A251" s="135" t="str">
        <f>HLOOKUP(Intro!$B$7,$B:$I,ROW(A251),FALSE)</f>
        <v>vast bedrag voor aflossing</v>
      </c>
      <c r="B251" s="135" t="s">
        <v>1024</v>
      </c>
      <c r="C251" s="135" t="s">
        <v>1025</v>
      </c>
    </row>
    <row r="252" spans="1:5" x14ac:dyDescent="0.2">
      <c r="A252" s="135" t="str">
        <f>HLOOKUP(Intro!$B$7,$B:$I,ROW(A252),FALSE)</f>
        <v>Voorwaarden (indicatie)</v>
      </c>
      <c r="B252" s="135" t="s">
        <v>521</v>
      </c>
      <c r="C252" s="135" t="s">
        <v>522</v>
      </c>
      <c r="D252" s="135" t="s">
        <v>523</v>
      </c>
      <c r="E252" s="135" t="s">
        <v>524</v>
      </c>
    </row>
    <row r="253" spans="1:5" x14ac:dyDescent="0.2">
      <c r="A253" s="135" t="str">
        <f>HLOOKUP(Intro!$B$7,$B:$I,ROW(A253),FALSE)</f>
        <v>Rentepercentage²</v>
      </c>
      <c r="B253" s="135" t="s">
        <v>525</v>
      </c>
      <c r="C253" s="135" t="s">
        <v>526</v>
      </c>
      <c r="D253" s="135" t="s">
        <v>527</v>
      </c>
      <c r="E253" s="135" t="s">
        <v>528</v>
      </c>
    </row>
    <row r="254" spans="1:5" x14ac:dyDescent="0.2">
      <c r="A254" s="135" t="str">
        <f>HLOOKUP(Intro!$B$7,$B:$I,ROW(A254),FALSE)</f>
        <v>Behandelkosten</v>
      </c>
      <c r="B254" s="135" t="s">
        <v>529</v>
      </c>
      <c r="C254" s="135" t="s">
        <v>530</v>
      </c>
      <c r="D254" s="135" t="s">
        <v>531</v>
      </c>
      <c r="E254" s="135" t="s">
        <v>532</v>
      </c>
    </row>
    <row r="255" spans="1:5" x14ac:dyDescent="0.2">
      <c r="A255" s="135" t="str">
        <f>HLOOKUP(Intro!$B$7,$B:$I,ROW(A255),FALSE)</f>
        <v>Effectieve rente²</v>
      </c>
      <c r="B255" s="135" t="s">
        <v>533</v>
      </c>
      <c r="C255" s="135" t="s">
        <v>534</v>
      </c>
      <c r="D255" s="135" t="s">
        <v>535</v>
      </c>
      <c r="E255" s="135" t="s">
        <v>536</v>
      </c>
    </row>
    <row r="256" spans="1:5" x14ac:dyDescent="0.2">
      <c r="A256" s="135" t="str">
        <f>HLOOKUP(Intro!$B$7,$B:$I,ROW(A256),FALSE)</f>
        <v>Maandlasten³</v>
      </c>
      <c r="B256" s="135" t="s">
        <v>537</v>
      </c>
      <c r="C256" s="135" t="s">
        <v>538</v>
      </c>
      <c r="D256" s="135" t="s">
        <v>539</v>
      </c>
      <c r="E256" s="135" t="s">
        <v>540</v>
      </c>
    </row>
    <row r="257" spans="1:5" x14ac:dyDescent="0.2">
      <c r="A257" s="135" t="str">
        <f>HLOOKUP(Intro!$B$7,$B:$I,ROW(A257),FALSE)</f>
        <v>Bedrag rente en aflossing</v>
      </c>
      <c r="B257" s="135" t="s">
        <v>1202</v>
      </c>
      <c r="C257" s="135" t="s">
        <v>542</v>
      </c>
      <c r="D257" s="135" t="s">
        <v>543</v>
      </c>
      <c r="E257" s="135" t="s">
        <v>544</v>
      </c>
    </row>
    <row r="258" spans="1:5" x14ac:dyDescent="0.2">
      <c r="A258" s="135" t="str">
        <f>HLOOKUP(Intro!$B$7,$B:$I,ROW(A258),FALSE)</f>
        <v>Bedrag aflossing</v>
      </c>
      <c r="B258" s="135" t="s">
        <v>1200</v>
      </c>
      <c r="C258" s="135" t="s">
        <v>1201</v>
      </c>
    </row>
    <row r="259" spans="1:5" x14ac:dyDescent="0.2">
      <c r="A259" s="135" t="str">
        <f>HLOOKUP(Intro!$B$7,$B:$I,ROW(A259),FALSE)</f>
        <v>² Onder voorbehoud van wijzigingen, kijk voor meer informatie op www.qredits.nl</v>
      </c>
      <c r="B259" s="135" t="s">
        <v>545</v>
      </c>
      <c r="C259" s="135" t="s">
        <v>546</v>
      </c>
      <c r="D259" s="135" t="s">
        <v>547</v>
      </c>
      <c r="E259" s="135" t="s">
        <v>548</v>
      </c>
    </row>
    <row r="260" spans="1:5" x14ac:dyDescent="0.2">
      <c r="A260" s="135" t="str">
        <f>HLOOKUP(Intro!$B$7,$B:$I,ROW(A260),FALSE)</f>
        <v>³ Specificatie in 'Qredits maandlasten'</v>
      </c>
      <c r="B260" s="135" t="s">
        <v>549</v>
      </c>
      <c r="C260" s="135" t="s">
        <v>550</v>
      </c>
      <c r="D260" s="135" t="s">
        <v>551</v>
      </c>
      <c r="E260" s="135" t="s">
        <v>552</v>
      </c>
    </row>
    <row r="261" spans="1:5" x14ac:dyDescent="0.2">
      <c r="A261" s="135" t="str">
        <f>HLOOKUP(Intro!$B$7,$B:$I,ROW(A261),FALSE)</f>
        <v>Wat is dit?</v>
      </c>
      <c r="B261" s="135" t="s">
        <v>1138</v>
      </c>
      <c r="C261" s="135" t="s">
        <v>553</v>
      </c>
      <c r="D261" s="135" t="s">
        <v>554</v>
      </c>
      <c r="E261" s="135" t="s">
        <v>555</v>
      </c>
    </row>
    <row r="262" spans="1:5" x14ac:dyDescent="0.2">
      <c r="A262" s="135" t="str">
        <f>HLOOKUP(Intro!$B$7,$B:$I,ROW(A262),FALSE)</f>
        <v>Klik hier om VRAGENLIJST in te vullen</v>
      </c>
      <c r="B262" s="135" t="s">
        <v>55</v>
      </c>
      <c r="C262" s="135" t="s">
        <v>1098</v>
      </c>
      <c r="D262" s="135" t="s">
        <v>557</v>
      </c>
      <c r="E262" s="137" t="s">
        <v>55</v>
      </c>
    </row>
    <row r="263" spans="1:5" x14ac:dyDescent="0.2">
      <c r="E263" s="137"/>
    </row>
    <row r="264" spans="1:5" ht="15" x14ac:dyDescent="0.25">
      <c r="A264" s="146" t="str">
        <f>HLOOKUP(Intro!$B$7,$B:$I,ROW(A264),FALSE)</f>
        <v>Liquiditeit</v>
      </c>
      <c r="B264" s="146" t="s">
        <v>558</v>
      </c>
      <c r="C264" s="146" t="s">
        <v>559</v>
      </c>
      <c r="D264" s="146" t="s">
        <v>560</v>
      </c>
      <c r="E264" s="146" t="s">
        <v>561</v>
      </c>
    </row>
    <row r="265" spans="1:5" x14ac:dyDescent="0.2">
      <c r="A265" s="135" t="str">
        <f>HLOOKUP(Intro!$B$7,$B:$I,ROW(A265),FALSE)</f>
        <v>Liquiditeitsbegroting</v>
      </c>
      <c r="B265" s="135" t="s">
        <v>562</v>
      </c>
      <c r="C265" s="135" t="s">
        <v>563</v>
      </c>
      <c r="D265" s="135" t="s">
        <v>564</v>
      </c>
      <c r="E265" s="135" t="s">
        <v>565</v>
      </c>
    </row>
    <row r="266" spans="1:5" x14ac:dyDescent="0.2">
      <c r="A266" s="135" t="str">
        <f>HLOOKUP(Intro!$B$7,$B:$I,ROW(A266),FALSE)</f>
        <v>Maand</v>
      </c>
      <c r="B266" s="135" t="s">
        <v>566</v>
      </c>
      <c r="C266" s="135" t="s">
        <v>567</v>
      </c>
      <c r="D266" s="135" t="s">
        <v>568</v>
      </c>
      <c r="E266" s="135" t="s">
        <v>569</v>
      </c>
    </row>
    <row r="267" spans="1:5" x14ac:dyDescent="0.2">
      <c r="A267" s="135" t="str">
        <f>HLOOKUP(Intro!$B$7,$B:$I,ROW(A267),FALSE)</f>
        <v>Opening kas/bank</v>
      </c>
      <c r="B267" s="135" t="s">
        <v>570</v>
      </c>
      <c r="C267" s="135" t="s">
        <v>571</v>
      </c>
      <c r="D267" s="135" t="s">
        <v>572</v>
      </c>
      <c r="E267" s="135" t="s">
        <v>573</v>
      </c>
    </row>
    <row r="268" spans="1:5" x14ac:dyDescent="0.2">
      <c r="A268" s="135" t="str">
        <f>HLOOKUP(Intro!$B$7,$B:$I,ROW(A268),FALSE)</f>
        <v>Ontvangsten</v>
      </c>
      <c r="B268" s="135" t="s">
        <v>574</v>
      </c>
      <c r="C268" s="135" t="s">
        <v>575</v>
      </c>
      <c r="D268" s="135" t="s">
        <v>349</v>
      </c>
      <c r="E268" s="135" t="s">
        <v>350</v>
      </c>
    </row>
    <row r="269" spans="1:5" x14ac:dyDescent="0.2">
      <c r="A269" s="135" t="str">
        <f>HLOOKUP(Intro!$B$7,$B:$I,ROW(A269),FALSE)</f>
        <v xml:space="preserve"> Lening Qredits</v>
      </c>
      <c r="B269" s="135" t="s">
        <v>576</v>
      </c>
      <c r="C269" s="135" t="s">
        <v>577</v>
      </c>
      <c r="D269" s="135" t="s">
        <v>578</v>
      </c>
      <c r="E269" s="135" t="s">
        <v>579</v>
      </c>
    </row>
    <row r="270" spans="1:5" x14ac:dyDescent="0.2">
      <c r="A270" s="135" t="str">
        <f>HLOOKUP(Intro!$B$7,$B:$I,ROW(A270),FALSE)</f>
        <v xml:space="preserve"> Eigen inbreng (spaargeld)</v>
      </c>
      <c r="B270" s="135" t="s">
        <v>1192</v>
      </c>
      <c r="C270" s="135" t="s">
        <v>1209</v>
      </c>
      <c r="D270" s="135" t="s">
        <v>580</v>
      </c>
      <c r="E270" s="135" t="s">
        <v>581</v>
      </c>
    </row>
    <row r="271" spans="1:5" x14ac:dyDescent="0.2">
      <c r="A271" s="135" t="str">
        <f>HLOOKUP(Intro!$B$7,$B:$I,ROW(A271),FALSE)</f>
        <v xml:space="preserve"> Eigen inbreng (leningen familie/vrienden)</v>
      </c>
      <c r="B271" s="135" t="s">
        <v>1208</v>
      </c>
      <c r="C271" s="135" t="s">
        <v>1210</v>
      </c>
      <c r="D271" s="135" t="s">
        <v>582</v>
      </c>
      <c r="E271" s="135" t="s">
        <v>583</v>
      </c>
    </row>
    <row r="272" spans="1:5" x14ac:dyDescent="0.2">
      <c r="A272" s="135" t="str">
        <f>HLOOKUP(Intro!$B$7,$B:$I,ROW(A272),FALSE)</f>
        <v xml:space="preserve"> Omzet product 1 (excl. btw)</v>
      </c>
      <c r="B272" s="135" t="s">
        <v>1127</v>
      </c>
      <c r="C272" s="135" t="s">
        <v>584</v>
      </c>
      <c r="D272" s="135" t="s">
        <v>585</v>
      </c>
      <c r="E272" s="135" t="s">
        <v>586</v>
      </c>
    </row>
    <row r="273" spans="1:5" x14ac:dyDescent="0.2">
      <c r="A273" s="135" t="str">
        <f>HLOOKUP(Intro!$B$7,$B:$I,ROW(A273),FALSE)</f>
        <v xml:space="preserve"> Omzet product 2 (excl. btw)</v>
      </c>
      <c r="B273" s="135" t="s">
        <v>1128</v>
      </c>
      <c r="C273" s="135" t="s">
        <v>587</v>
      </c>
      <c r="D273" s="135" t="s">
        <v>585</v>
      </c>
      <c r="E273" s="135" t="s">
        <v>586</v>
      </c>
    </row>
    <row r="274" spans="1:5" x14ac:dyDescent="0.2">
      <c r="A274" s="135" t="str">
        <f>HLOOKUP(Intro!$B$7,$B:$I,ROW(A274),FALSE)</f>
        <v xml:space="preserve"> Omzet product 3 (excl. btw)</v>
      </c>
      <c r="B274" s="135" t="s">
        <v>1264</v>
      </c>
      <c r="C274" s="135" t="s">
        <v>1265</v>
      </c>
    </row>
    <row r="275" spans="1:5" x14ac:dyDescent="0.2">
      <c r="A275" s="135" t="str">
        <f>HLOOKUP(Intro!$B$7,$B:$I,ROW(A275),FALSE)</f>
        <v xml:space="preserve"> Btw</v>
      </c>
      <c r="B275" s="135" t="s">
        <v>1125</v>
      </c>
      <c r="C275" s="135" t="s">
        <v>588</v>
      </c>
      <c r="D275" s="135" t="s">
        <v>589</v>
      </c>
      <c r="E275" s="135" t="s">
        <v>588</v>
      </c>
    </row>
    <row r="276" spans="1:5" x14ac:dyDescent="0.2">
      <c r="A276" s="135" t="str">
        <f>HLOOKUP(Intro!$B$7,$B:$I,ROW(A276),FALSE)</f>
        <v xml:space="preserve"> Omzet incl. btw</v>
      </c>
      <c r="B276" s="135" t="s">
        <v>1126</v>
      </c>
      <c r="C276" s="135" t="s">
        <v>590</v>
      </c>
      <c r="D276" s="135" t="s">
        <v>591</v>
      </c>
      <c r="E276" s="135" t="s">
        <v>592</v>
      </c>
    </row>
    <row r="277" spans="1:5" x14ac:dyDescent="0.2">
      <c r="A277" s="135" t="str">
        <f>HLOOKUP(Intro!$B$7,$B:$I,ROW(A277),FALSE)</f>
        <v>Totale ontvangsten</v>
      </c>
      <c r="B277" s="135" t="s">
        <v>593</v>
      </c>
      <c r="C277" s="135" t="s">
        <v>594</v>
      </c>
      <c r="D277" s="135" t="s">
        <v>595</v>
      </c>
      <c r="E277" s="135" t="s">
        <v>596</v>
      </c>
    </row>
    <row r="278" spans="1:5" x14ac:dyDescent="0.2">
      <c r="A278" s="135" t="str">
        <f>HLOOKUP(Intro!$B$7,$B:$I,ROW(A278),FALSE)</f>
        <v>Uitgaven</v>
      </c>
      <c r="B278" s="135" t="s">
        <v>597</v>
      </c>
      <c r="C278" s="135" t="s">
        <v>598</v>
      </c>
      <c r="D278" s="135" t="s">
        <v>599</v>
      </c>
      <c r="E278" s="135" t="s">
        <v>600</v>
      </c>
    </row>
    <row r="279" spans="1:5" x14ac:dyDescent="0.2">
      <c r="A279" s="135" t="str">
        <f>HLOOKUP(Intro!$B$7,$B:$I,ROW(A279),FALSE)</f>
        <v xml:space="preserve"> Investering</v>
      </c>
      <c r="B279" s="135" t="s">
        <v>601</v>
      </c>
      <c r="C279" s="135" t="s">
        <v>602</v>
      </c>
      <c r="D279" s="135" t="s">
        <v>603</v>
      </c>
      <c r="E279" s="135" t="s">
        <v>604</v>
      </c>
    </row>
    <row r="280" spans="1:5" x14ac:dyDescent="0.2">
      <c r="A280" s="135" t="str">
        <f>HLOOKUP(Intro!$B$7,$B:$I,ROW(A280),FALSE)</f>
        <v xml:space="preserve"> Inkoop product 1</v>
      </c>
      <c r="B280" s="135" t="s">
        <v>605</v>
      </c>
      <c r="C280" s="135" t="s">
        <v>606</v>
      </c>
      <c r="D280" s="135" t="s">
        <v>607</v>
      </c>
      <c r="E280" s="135" t="s">
        <v>607</v>
      </c>
    </row>
    <row r="281" spans="1:5" x14ac:dyDescent="0.2">
      <c r="A281" s="135" t="str">
        <f>HLOOKUP(Intro!$B$7,$B:$I,ROW(A281),FALSE)</f>
        <v xml:space="preserve"> Inkoop product 2</v>
      </c>
      <c r="B281" s="135" t="s">
        <v>608</v>
      </c>
      <c r="C281" s="135" t="s">
        <v>609</v>
      </c>
      <c r="D281" s="135" t="s">
        <v>607</v>
      </c>
      <c r="E281" s="135" t="s">
        <v>607</v>
      </c>
    </row>
    <row r="282" spans="1:5" x14ac:dyDescent="0.2">
      <c r="A282" s="135" t="str">
        <f>HLOOKUP(Intro!$B$7,$B:$I,ROW(A282),FALSE)</f>
        <v xml:space="preserve"> Inkoop product 3</v>
      </c>
      <c r="B282" s="135" t="s">
        <v>1266</v>
      </c>
      <c r="C282" s="135" t="s">
        <v>1267</v>
      </c>
    </row>
    <row r="283" spans="1:5" x14ac:dyDescent="0.2">
      <c r="A283" s="135" t="str">
        <f>HLOOKUP(Intro!$B$7,$B:$I,ROW(A283),FALSE)</f>
        <v xml:space="preserve"> Btw inkoop</v>
      </c>
      <c r="B283" s="135" t="s">
        <v>1129</v>
      </c>
      <c r="C283" s="135" t="s">
        <v>610</v>
      </c>
      <c r="D283" s="135" t="s">
        <v>607</v>
      </c>
      <c r="E283" s="135" t="s">
        <v>607</v>
      </c>
    </row>
    <row r="284" spans="1:5" x14ac:dyDescent="0.2">
      <c r="A284" s="135" t="str">
        <f>HLOOKUP(Intro!$B$7,$B:$I,ROW(A284),FALSE)</f>
        <v xml:space="preserve"> Personeelskosten</v>
      </c>
      <c r="B284" s="135" t="s">
        <v>611</v>
      </c>
      <c r="C284" s="135" t="s">
        <v>612</v>
      </c>
      <c r="D284" s="135" t="s">
        <v>613</v>
      </c>
      <c r="E284" s="135" t="s">
        <v>614</v>
      </c>
    </row>
    <row r="285" spans="1:5" x14ac:dyDescent="0.2">
      <c r="A285" s="135" t="str">
        <f>HLOOKUP(Intro!$B$7,$B:$I,ROW(A285),FALSE)</f>
        <v xml:space="preserve"> Huisvestingskosten</v>
      </c>
      <c r="B285" s="135" t="s">
        <v>615</v>
      </c>
      <c r="C285" s="135" t="s">
        <v>616</v>
      </c>
      <c r="D285" s="135" t="s">
        <v>617</v>
      </c>
      <c r="E285" s="135" t="s">
        <v>618</v>
      </c>
    </row>
    <row r="286" spans="1:5" x14ac:dyDescent="0.2">
      <c r="A286" s="135" t="str">
        <f>HLOOKUP(Intro!$B$7,$B:$I,ROW(A286),FALSE)</f>
        <v xml:space="preserve"> Vervoer-/transportkosten</v>
      </c>
      <c r="B286" s="135" t="s">
        <v>1194</v>
      </c>
      <c r="C286" s="135" t="s">
        <v>619</v>
      </c>
      <c r="D286" s="135" t="s">
        <v>620</v>
      </c>
      <c r="E286" s="135" t="s">
        <v>621</v>
      </c>
    </row>
    <row r="287" spans="1:5" x14ac:dyDescent="0.2">
      <c r="A287" s="135" t="str">
        <f>HLOOKUP(Intro!$B$7,$B:$I,ROW(A287),FALSE)</f>
        <v xml:space="preserve"> Promotiekosten</v>
      </c>
      <c r="B287" s="135" t="s">
        <v>622</v>
      </c>
      <c r="C287" s="135" t="s">
        <v>623</v>
      </c>
      <c r="D287" s="135" t="s">
        <v>624</v>
      </c>
      <c r="E287" s="135" t="s">
        <v>625</v>
      </c>
    </row>
    <row r="288" spans="1:5" x14ac:dyDescent="0.2">
      <c r="A288" s="135" t="str">
        <f>HLOOKUP(Intro!$B$7,$B:$I,ROW(A288),FALSE)</f>
        <v xml:space="preserve"> Overige bedrijfskosten</v>
      </c>
      <c r="B288" s="135" t="s">
        <v>626</v>
      </c>
      <c r="C288" s="135" t="s">
        <v>627</v>
      </c>
      <c r="D288" s="135" t="s">
        <v>628</v>
      </c>
      <c r="E288" s="135" t="s">
        <v>629</v>
      </c>
    </row>
    <row r="289" spans="1:5" x14ac:dyDescent="0.2">
      <c r="A289" s="135" t="str">
        <f>HLOOKUP(Intro!$B$7,$B:$I,ROW(A289),FALSE)</f>
        <v xml:space="preserve"> Btw investeringen/kosten</v>
      </c>
      <c r="B289" s="135" t="s">
        <v>1130</v>
      </c>
      <c r="C289" s="135" t="s">
        <v>630</v>
      </c>
      <c r="D289" s="135" t="s">
        <v>631</v>
      </c>
      <c r="E289" s="135" t="s">
        <v>632</v>
      </c>
    </row>
    <row r="290" spans="1:5" x14ac:dyDescent="0.2">
      <c r="A290" s="135" t="str">
        <f>HLOOKUP(Intro!$B$7,$B:$I,ROW(A290),FALSE)</f>
        <v xml:space="preserve"> Btw-afdracht</v>
      </c>
      <c r="B290" s="135" t="s">
        <v>1131</v>
      </c>
      <c r="C290" s="135" t="s">
        <v>633</v>
      </c>
      <c r="D290" s="135" t="s">
        <v>634</v>
      </c>
      <c r="E290" s="135" t="s">
        <v>635</v>
      </c>
    </row>
    <row r="291" spans="1:5" x14ac:dyDescent="0.2">
      <c r="A291" s="135" t="str">
        <f>HLOOKUP(Intro!$B$7,$B:$I,ROW(A291),FALSE)</f>
        <v xml:space="preserve"> Rente (excl. Qredits)</v>
      </c>
      <c r="B291" s="135" t="s">
        <v>636</v>
      </c>
      <c r="C291" s="135" t="s">
        <v>637</v>
      </c>
      <c r="D291" s="135" t="s">
        <v>638</v>
      </c>
      <c r="E291" s="135" t="s">
        <v>639</v>
      </c>
    </row>
    <row r="292" spans="1:5" x14ac:dyDescent="0.2">
      <c r="A292" s="135" t="str">
        <f>HLOOKUP(Intro!$B$7,$B:$I,ROW(A292),FALSE)</f>
        <v xml:space="preserve"> Aflossing (excl. Qredits)</v>
      </c>
      <c r="B292" s="135" t="s">
        <v>640</v>
      </c>
      <c r="C292" s="135" t="s">
        <v>641</v>
      </c>
      <c r="D292" s="135" t="s">
        <v>642</v>
      </c>
      <c r="E292" s="135" t="s">
        <v>643</v>
      </c>
    </row>
    <row r="293" spans="1:5" x14ac:dyDescent="0.2">
      <c r="A293" s="135" t="str">
        <f>HLOOKUP(Intro!$B$7,$B:$I,ROW(A293),FALSE)</f>
        <v xml:space="preserve"> Rente Qredits</v>
      </c>
      <c r="B293" s="135" t="s">
        <v>644</v>
      </c>
      <c r="C293" s="135" t="s">
        <v>645</v>
      </c>
      <c r="D293" s="135" t="s">
        <v>646</v>
      </c>
      <c r="E293" s="135" t="s">
        <v>647</v>
      </c>
    </row>
    <row r="294" spans="1:5" x14ac:dyDescent="0.2">
      <c r="A294" s="135" t="str">
        <f>HLOOKUP(Intro!$B$7,$B:$I,ROW(A294),FALSE)</f>
        <v xml:space="preserve"> Aflossing Qredits</v>
      </c>
      <c r="B294" s="135" t="s">
        <v>1195</v>
      </c>
      <c r="C294" s="135" t="s">
        <v>648</v>
      </c>
      <c r="D294" s="135" t="s">
        <v>649</v>
      </c>
      <c r="E294" s="135" t="s">
        <v>650</v>
      </c>
    </row>
    <row r="295" spans="1:5" x14ac:dyDescent="0.2">
      <c r="A295" s="135" t="str">
        <f>HLOOKUP(Intro!$B$7,$B:$I,ROW(A295),FALSE)</f>
        <v>Vennootschapsbelasting</v>
      </c>
      <c r="B295" s="135" t="s">
        <v>1205</v>
      </c>
      <c r="C295" s="135" t="s">
        <v>1206</v>
      </c>
      <c r="E295" s="135" t="s">
        <v>651</v>
      </c>
    </row>
    <row r="296" spans="1:5" x14ac:dyDescent="0.2">
      <c r="A296" s="135" t="str">
        <f>HLOOKUP(Intro!$B$7,$B:$I,ROW(A296),FALSE)</f>
        <v xml:space="preserve"> Vennootschapsbelasting</v>
      </c>
      <c r="B296" s="135" t="s">
        <v>1026</v>
      </c>
      <c r="C296" s="135" t="s">
        <v>1027</v>
      </c>
    </row>
    <row r="297" spans="1:5" x14ac:dyDescent="0.2">
      <c r="A297" s="135" t="str">
        <f>HLOOKUP(Intro!$B$7,$B:$I,ROW(A297),FALSE)</f>
        <v>Afdracht inkomstenbelasting</v>
      </c>
      <c r="B297" s="135" t="s">
        <v>1203</v>
      </c>
      <c r="C297" s="135" t="s">
        <v>1204</v>
      </c>
      <c r="E297" s="135" t="s">
        <v>651</v>
      </c>
    </row>
    <row r="298" spans="1:5" x14ac:dyDescent="0.2">
      <c r="A298" s="135" t="str">
        <f>HLOOKUP(Intro!$B$7,$B:$I,ROW(A298),FALSE)</f>
        <v xml:space="preserve"> Afdracht inkomstenbelasting</v>
      </c>
      <c r="B298" s="135" t="s">
        <v>1167</v>
      </c>
      <c r="C298" s="135" t="s">
        <v>1028</v>
      </c>
    </row>
    <row r="299" spans="1:5" x14ac:dyDescent="0.2">
      <c r="A299" s="135" t="str">
        <f>HLOOKUP(Intro!$B$7,$B:$I,ROW(A299),FALSE)</f>
        <v xml:space="preserve"> Salaris directie</v>
      </c>
      <c r="B299" s="135" t="s">
        <v>1029</v>
      </c>
      <c r="C299" s="135" t="s">
        <v>1030</v>
      </c>
    </row>
    <row r="300" spans="1:5" x14ac:dyDescent="0.2">
      <c r="A300" s="135" t="str">
        <f>HLOOKUP(Intro!$B$7,$B:$I,ROW(A300),FALSE)</f>
        <v xml:space="preserve"> Privéonttrekking</v>
      </c>
      <c r="B300" s="135" t="s">
        <v>1168</v>
      </c>
      <c r="C300" s="135" t="s">
        <v>1031</v>
      </c>
    </row>
    <row r="301" spans="1:5" x14ac:dyDescent="0.2">
      <c r="A301" s="135" t="str">
        <f>HLOOKUP(Intro!$B$7,$B:$I,ROW(A301),FALSE)</f>
        <v>Totale uitgaven</v>
      </c>
      <c r="B301" s="135" t="s">
        <v>652</v>
      </c>
      <c r="C301" s="135" t="s">
        <v>653</v>
      </c>
      <c r="D301" s="135" t="s">
        <v>654</v>
      </c>
      <c r="E301" s="135" t="s">
        <v>655</v>
      </c>
    </row>
    <row r="302" spans="1:5" x14ac:dyDescent="0.2">
      <c r="A302" s="135" t="str">
        <f>HLOOKUP(Intro!$B$7,$B:$I,ROW(A302),FALSE)</f>
        <v>Kas per maand</v>
      </c>
      <c r="B302" s="135" t="s">
        <v>656</v>
      </c>
      <c r="C302" s="135" t="s">
        <v>657</v>
      </c>
      <c r="D302" s="135" t="s">
        <v>658</v>
      </c>
      <c r="E302" s="135" t="s">
        <v>659</v>
      </c>
    </row>
    <row r="303" spans="1:5" x14ac:dyDescent="0.2">
      <c r="A303" s="135" t="str">
        <f>HLOOKUP(Intro!$B$7,$B:$I,ROW(A303),FALSE)</f>
        <v>Eindsaldo</v>
      </c>
      <c r="B303" s="135" t="s">
        <v>660</v>
      </c>
      <c r="C303" s="135" t="s">
        <v>661</v>
      </c>
      <c r="D303" s="135" t="s">
        <v>662</v>
      </c>
      <c r="E303" s="135" t="s">
        <v>662</v>
      </c>
    </row>
    <row r="304" spans="1:5" x14ac:dyDescent="0.2">
      <c r="A304" s="135" t="str">
        <f>HLOOKUP(Intro!$B$7,$B:$I,ROW(A304),FALSE)</f>
        <v>Wat is dit?</v>
      </c>
      <c r="B304" s="135" t="s">
        <v>1138</v>
      </c>
      <c r="C304" s="135" t="s">
        <v>1094</v>
      </c>
      <c r="D304" s="135" t="s">
        <v>554</v>
      </c>
      <c r="E304" s="135" t="s">
        <v>555</v>
      </c>
    </row>
    <row r="305" spans="1:5" x14ac:dyDescent="0.2">
      <c r="A305" s="135" t="str">
        <f>HLOOKUP(Intro!$B$7,$B:$I,ROW(A305),FALSE)</f>
        <v>Klik hier om VRAGENLIJST in te vullen</v>
      </c>
      <c r="B305" s="135" t="s">
        <v>55</v>
      </c>
      <c r="C305" s="135" t="s">
        <v>556</v>
      </c>
      <c r="D305" s="135" t="s">
        <v>557</v>
      </c>
      <c r="E305" s="137" t="s">
        <v>55</v>
      </c>
    </row>
    <row r="306" spans="1:5" x14ac:dyDescent="0.2">
      <c r="E306" s="137"/>
    </row>
    <row r="307" spans="1:5" ht="15" x14ac:dyDescent="0.25">
      <c r="A307" s="146" t="str">
        <f>HLOOKUP(Intro!$B$7,$B:$I,ROW(A307),FALSE)</f>
        <v>Exploitatie</v>
      </c>
      <c r="B307" s="146" t="s">
        <v>663</v>
      </c>
      <c r="C307" s="146" t="s">
        <v>664</v>
      </c>
      <c r="D307" s="146" t="s">
        <v>665</v>
      </c>
      <c r="E307" s="146" t="s">
        <v>666</v>
      </c>
    </row>
    <row r="308" spans="1:5" x14ac:dyDescent="0.2">
      <c r="A308" s="135" t="str">
        <f>HLOOKUP(Intro!$B$7,$B:$I,ROW(A308),FALSE)</f>
        <v>Exploitatiebegroting</v>
      </c>
      <c r="B308" s="135" t="s">
        <v>667</v>
      </c>
      <c r="C308" s="135" t="s">
        <v>668</v>
      </c>
      <c r="D308" s="135" t="s">
        <v>669</v>
      </c>
      <c r="E308" s="135" t="s">
        <v>670</v>
      </c>
    </row>
    <row r="309" spans="1:5" x14ac:dyDescent="0.2">
      <c r="A309" s="135" t="str">
        <f>HLOOKUP(Intro!$B$7,$B:$I,ROW(A309),FALSE)</f>
        <v xml:space="preserve">Exploitatiebegroting </v>
      </c>
      <c r="B309" s="135" t="s">
        <v>671</v>
      </c>
      <c r="C309" s="135" t="s">
        <v>672</v>
      </c>
      <c r="D309" s="135" t="s">
        <v>673</v>
      </c>
      <c r="E309" s="135" t="s">
        <v>670</v>
      </c>
    </row>
    <row r="310" spans="1:5" x14ac:dyDescent="0.2">
      <c r="A310" s="135" t="str">
        <f>HLOOKUP(Intro!$B$7,$B:$I,ROW(A310),FALSE)</f>
        <v>Jaar 1</v>
      </c>
      <c r="B310" s="135" t="s">
        <v>1270</v>
      </c>
      <c r="C310" s="135" t="s">
        <v>1271</v>
      </c>
    </row>
    <row r="311" spans="1:5" x14ac:dyDescent="0.2">
      <c r="A311" s="135" t="str">
        <f>HLOOKUP(Intro!$B$7,$B:$I,ROW(A311),FALSE)</f>
        <v>Jaar 2</v>
      </c>
      <c r="B311" s="135" t="s">
        <v>1272</v>
      </c>
      <c r="C311" s="135" t="s">
        <v>1273</v>
      </c>
    </row>
    <row r="312" spans="1:5" x14ac:dyDescent="0.2">
      <c r="A312" s="135" t="str">
        <f>HLOOKUP(Intro!$B$7,$B:$I,ROW(A312),FALSE)</f>
        <v>Jaar 3</v>
      </c>
      <c r="B312" s="135" t="s">
        <v>1275</v>
      </c>
      <c r="C312" s="135" t="s">
        <v>1274</v>
      </c>
    </row>
    <row r="313" spans="1:5" x14ac:dyDescent="0.2">
      <c r="A313" s="135" t="str">
        <f>HLOOKUP(Intro!$B$7,$B:$I,ROW(A313),FALSE)</f>
        <v>Netto-omzet product 1</v>
      </c>
      <c r="B313" s="135" t="s">
        <v>1133</v>
      </c>
      <c r="C313" s="135" t="s">
        <v>674</v>
      </c>
      <c r="D313" s="135" t="s">
        <v>675</v>
      </c>
      <c r="E313" s="135" t="s">
        <v>676</v>
      </c>
    </row>
    <row r="314" spans="1:5" x14ac:dyDescent="0.2">
      <c r="A314" s="135" t="str">
        <f>HLOOKUP(Intro!$B$7,$B:$I,ROW(A314),FALSE)</f>
        <v>Inkoopwaarde</v>
      </c>
      <c r="B314" s="135" t="s">
        <v>677</v>
      </c>
      <c r="C314" s="135" t="s">
        <v>678</v>
      </c>
      <c r="D314" s="135" t="s">
        <v>679</v>
      </c>
      <c r="E314" s="135" t="s">
        <v>680</v>
      </c>
    </row>
    <row r="315" spans="1:5" x14ac:dyDescent="0.2">
      <c r="A315" s="135" t="str">
        <f>HLOOKUP(Intro!$B$7,$B:$I,ROW(A315),FALSE)</f>
        <v>Brutowinst</v>
      </c>
      <c r="B315" s="135" t="s">
        <v>1132</v>
      </c>
      <c r="C315" s="135" t="s">
        <v>681</v>
      </c>
      <c r="D315" s="135" t="s">
        <v>682</v>
      </c>
      <c r="E315" s="135" t="s">
        <v>683</v>
      </c>
    </row>
    <row r="316" spans="1:5" x14ac:dyDescent="0.2">
      <c r="A316" s="135" t="str">
        <f>HLOOKUP(Intro!$B$7,$B:$I,ROW(A316),FALSE)</f>
        <v>Brutowinstmarge</v>
      </c>
      <c r="B316" s="135" t="s">
        <v>684</v>
      </c>
      <c r="C316" s="135" t="s">
        <v>685</v>
      </c>
      <c r="D316" s="135" t="s">
        <v>686</v>
      </c>
      <c r="E316" s="135" t="s">
        <v>687</v>
      </c>
    </row>
    <row r="317" spans="1:5" x14ac:dyDescent="0.2">
      <c r="A317" s="135" t="str">
        <f>HLOOKUP(Intro!$B$7,$B:$I,ROW(A317),FALSE)</f>
        <v>Netto-omzet product 2</v>
      </c>
      <c r="B317" s="135" t="s">
        <v>1134</v>
      </c>
      <c r="C317" s="135" t="s">
        <v>688</v>
      </c>
      <c r="D317" s="135" t="s">
        <v>675</v>
      </c>
      <c r="E317" s="135" t="s">
        <v>676</v>
      </c>
    </row>
    <row r="318" spans="1:5" x14ac:dyDescent="0.2">
      <c r="A318" s="135" t="str">
        <f>HLOOKUP(Intro!$B$7,$B:$I,ROW(A318),FALSE)</f>
        <v>Netto-omzet product 3</v>
      </c>
      <c r="B318" s="135" t="s">
        <v>1268</v>
      </c>
      <c r="C318" s="135" t="s">
        <v>1269</v>
      </c>
    </row>
    <row r="319" spans="1:5" x14ac:dyDescent="0.2">
      <c r="A319" s="135" t="str">
        <f>HLOOKUP(Intro!$B$7,$B:$I,ROW(A319),FALSE)</f>
        <v>Inkoopwaarde</v>
      </c>
      <c r="B319" s="135" t="s">
        <v>677</v>
      </c>
      <c r="C319" s="135" t="s">
        <v>678</v>
      </c>
      <c r="D319" s="135" t="s">
        <v>679</v>
      </c>
      <c r="E319" s="135" t="s">
        <v>680</v>
      </c>
    </row>
    <row r="320" spans="1:5" x14ac:dyDescent="0.2">
      <c r="A320" s="135" t="str">
        <f>HLOOKUP(Intro!$B$7,$B:$I,ROW(A320),FALSE)</f>
        <v>Brutowinst</v>
      </c>
      <c r="B320" s="135" t="s">
        <v>1132</v>
      </c>
      <c r="C320" s="135" t="s">
        <v>681</v>
      </c>
      <c r="D320" s="135" t="s">
        <v>682</v>
      </c>
      <c r="E320" s="135" t="s">
        <v>683</v>
      </c>
    </row>
    <row r="321" spans="1:5" x14ac:dyDescent="0.2">
      <c r="A321" s="135" t="str">
        <f>HLOOKUP(Intro!$B$7,$B:$I,ROW(A321),FALSE)</f>
        <v>Brutowinstmarge</v>
      </c>
      <c r="B321" s="135" t="s">
        <v>684</v>
      </c>
      <c r="C321" s="135" t="s">
        <v>685</v>
      </c>
      <c r="D321" s="135" t="s">
        <v>686</v>
      </c>
      <c r="E321" s="135" t="s">
        <v>687</v>
      </c>
    </row>
    <row r="322" spans="1:5" x14ac:dyDescent="0.2">
      <c r="A322" s="135" t="str">
        <f>HLOOKUP(Intro!$B$7,$B:$I,ROW(A322),FALSE)</f>
        <v>Totaal omzet</v>
      </c>
      <c r="B322" s="135" t="s">
        <v>689</v>
      </c>
      <c r="C322" s="135" t="s">
        <v>690</v>
      </c>
      <c r="D322" s="135" t="s">
        <v>675</v>
      </c>
      <c r="E322" s="135" t="s">
        <v>676</v>
      </c>
    </row>
    <row r="323" spans="1:5" x14ac:dyDescent="0.2">
      <c r="A323" s="135" t="str">
        <f>HLOOKUP(Intro!$B$7,$B:$I,ROW(A323),FALSE)</f>
        <v>Inkoopwaarde</v>
      </c>
      <c r="B323" s="135" t="s">
        <v>677</v>
      </c>
      <c r="C323" s="135" t="s">
        <v>691</v>
      </c>
      <c r="D323" s="135" t="s">
        <v>679</v>
      </c>
      <c r="E323" s="135" t="s">
        <v>680</v>
      </c>
    </row>
    <row r="324" spans="1:5" x14ac:dyDescent="0.2">
      <c r="A324" s="135" t="str">
        <f>HLOOKUP(Intro!$B$7,$B:$I,ROW(A324),FALSE)</f>
        <v>Totaal brutowinst</v>
      </c>
      <c r="B324" s="135" t="s">
        <v>1135</v>
      </c>
      <c r="C324" s="135" t="s">
        <v>692</v>
      </c>
      <c r="D324" s="135" t="s">
        <v>686</v>
      </c>
      <c r="E324" s="135" t="s">
        <v>687</v>
      </c>
    </row>
    <row r="325" spans="1:5" x14ac:dyDescent="0.2">
      <c r="A325" s="135" t="str">
        <f>HLOOKUP(Intro!$B$7,$B:$I,ROW(A325),FALSE)</f>
        <v>Personeelskosten</v>
      </c>
      <c r="B325" s="135" t="s">
        <v>693</v>
      </c>
      <c r="C325" s="135" t="s">
        <v>694</v>
      </c>
      <c r="D325" s="135" t="s">
        <v>695</v>
      </c>
      <c r="E325" s="135" t="s">
        <v>696</v>
      </c>
    </row>
    <row r="326" spans="1:5" x14ac:dyDescent="0.2">
      <c r="A326" s="135" t="str">
        <f>HLOOKUP(Intro!$B$7,$B:$I,ROW(A326),FALSE)</f>
        <v>Huisvestingskosten</v>
      </c>
      <c r="B326" s="135" t="s">
        <v>697</v>
      </c>
      <c r="C326" s="135" t="s">
        <v>698</v>
      </c>
      <c r="D326" s="135" t="s">
        <v>699</v>
      </c>
      <c r="E326" s="135" t="s">
        <v>700</v>
      </c>
    </row>
    <row r="327" spans="1:5" x14ac:dyDescent="0.2">
      <c r="A327" s="135" t="str">
        <f>HLOOKUP(Intro!$B$7,$B:$I,ROW(A327),FALSE)</f>
        <v>Vervoer-/transportkosten</v>
      </c>
      <c r="B327" s="135" t="s">
        <v>1196</v>
      </c>
      <c r="C327" s="135" t="s">
        <v>701</v>
      </c>
      <c r="D327" s="135" t="s">
        <v>702</v>
      </c>
      <c r="E327" s="135" t="s">
        <v>703</v>
      </c>
    </row>
    <row r="328" spans="1:5" x14ac:dyDescent="0.2">
      <c r="A328" s="135" t="str">
        <f>HLOOKUP(Intro!$B$7,$B:$I,ROW(A328),FALSE)</f>
        <v>Promotiekosten</v>
      </c>
      <c r="B328" s="135" t="s">
        <v>280</v>
      </c>
      <c r="C328" s="135" t="s">
        <v>704</v>
      </c>
      <c r="D328" s="135" t="s">
        <v>705</v>
      </c>
      <c r="E328" s="135" t="s">
        <v>706</v>
      </c>
    </row>
    <row r="329" spans="1:5" x14ac:dyDescent="0.2">
      <c r="A329" s="135" t="str">
        <f>HLOOKUP(Intro!$B$7,$B:$I,ROW(A329),FALSE)</f>
        <v xml:space="preserve">Overige bedrijfskosten </v>
      </c>
      <c r="B329" s="135" t="s">
        <v>707</v>
      </c>
      <c r="C329" s="135" t="s">
        <v>708</v>
      </c>
      <c r="D329" s="135" t="s">
        <v>709</v>
      </c>
      <c r="E329" s="135" t="s">
        <v>710</v>
      </c>
    </row>
    <row r="330" spans="1:5" x14ac:dyDescent="0.2">
      <c r="A330" s="135" t="str">
        <f>HLOOKUP(Intro!$B$7,$B:$I,ROW(A330),FALSE)</f>
        <v>Afschrijvingskosten</v>
      </c>
      <c r="B330" s="135" t="s">
        <v>1197</v>
      </c>
      <c r="C330" s="135" t="s">
        <v>711</v>
      </c>
      <c r="D330" s="135" t="s">
        <v>712</v>
      </c>
      <c r="E330" s="135" t="s">
        <v>713</v>
      </c>
    </row>
    <row r="331" spans="1:5" x14ac:dyDescent="0.2">
      <c r="A331" s="135" t="str">
        <f>HLOOKUP(Intro!$B$7,$B:$I,ROW(A331),FALSE)</f>
        <v>Totaal bedrijfskosten</v>
      </c>
      <c r="B331" s="135" t="s">
        <v>1136</v>
      </c>
      <c r="C331" s="135" t="s">
        <v>714</v>
      </c>
      <c r="D331" s="135" t="s">
        <v>715</v>
      </c>
      <c r="E331" s="135" t="s">
        <v>716</v>
      </c>
    </row>
    <row r="332" spans="1:5" x14ac:dyDescent="0.2">
      <c r="A332" s="135" t="str">
        <f>HLOOKUP(Intro!$B$7,$B:$I,ROW(A332),FALSE)</f>
        <v>Rente Qredits</v>
      </c>
      <c r="B332" s="135" t="s">
        <v>717</v>
      </c>
      <c r="C332" s="135" t="s">
        <v>718</v>
      </c>
      <c r="D332" s="135" t="s">
        <v>719</v>
      </c>
      <c r="E332" s="135" t="s">
        <v>719</v>
      </c>
    </row>
    <row r="333" spans="1:5" x14ac:dyDescent="0.2">
      <c r="A333" s="135" t="str">
        <f>HLOOKUP(Intro!$B$7,$B:$I,ROW(A333),FALSE)</f>
        <v>Overige rentelasten</v>
      </c>
      <c r="B333" s="135" t="s">
        <v>720</v>
      </c>
      <c r="C333" s="135" t="s">
        <v>721</v>
      </c>
      <c r="D333" s="135" t="s">
        <v>722</v>
      </c>
      <c r="E333" s="135" t="s">
        <v>723</v>
      </c>
    </row>
    <row r="334" spans="1:5" x14ac:dyDescent="0.2">
      <c r="A334" s="135" t="str">
        <f>HLOOKUP(Intro!$B$7,$B:$I,ROW(A334),FALSE)</f>
        <v>Winst uit onderneming</v>
      </c>
      <c r="B334" s="135" t="s">
        <v>724</v>
      </c>
      <c r="C334" s="135" t="s">
        <v>725</v>
      </c>
      <c r="D334" s="135" t="s">
        <v>726</v>
      </c>
      <c r="E334" s="135" t="s">
        <v>727</v>
      </c>
    </row>
    <row r="335" spans="1:5" x14ac:dyDescent="0.2">
      <c r="A335" s="135" t="str">
        <f>HLOOKUP(Intro!$B$7,$B:$I,ROW(A335),FALSE)</f>
        <v>Winstdeel</v>
      </c>
      <c r="B335" s="135" t="s">
        <v>728</v>
      </c>
      <c r="C335" s="135" t="s">
        <v>729</v>
      </c>
    </row>
    <row r="336" spans="1:5" x14ac:dyDescent="0.2">
      <c r="A336" s="135" t="str">
        <f>HLOOKUP(Intro!$B$7,$B:$I,ROW(A336),FALSE)</f>
        <v>Aftrekposten</v>
      </c>
      <c r="B336" s="135" t="s">
        <v>730</v>
      </c>
      <c r="C336" s="135" t="s">
        <v>731</v>
      </c>
      <c r="D336" s="135" t="s">
        <v>732</v>
      </c>
      <c r="E336" s="135" t="s">
        <v>733</v>
      </c>
    </row>
    <row r="337" spans="1:5" x14ac:dyDescent="0.2">
      <c r="A337" s="135" t="str">
        <f>HLOOKUP(Intro!$B$7,$B:$I,ROW(A337),FALSE)</f>
        <v>Belastbaar inkomen</v>
      </c>
      <c r="B337" s="135" t="s">
        <v>734</v>
      </c>
      <c r="C337" s="135" t="s">
        <v>735</v>
      </c>
      <c r="D337" s="135" t="s">
        <v>736</v>
      </c>
      <c r="E337" s="135" t="s">
        <v>737</v>
      </c>
    </row>
    <row r="338" spans="1:5" x14ac:dyDescent="0.2">
      <c r="A338" s="135" t="str">
        <f>HLOOKUP(Intro!$B$7,$B:$I,ROW(A338),FALSE)</f>
        <v>IB-bedrag</v>
      </c>
      <c r="B338" s="135" t="s">
        <v>1169</v>
      </c>
      <c r="C338" s="135" t="s">
        <v>739</v>
      </c>
      <c r="D338" s="135" t="s">
        <v>740</v>
      </c>
      <c r="E338" s="135" t="s">
        <v>738</v>
      </c>
    </row>
    <row r="339" spans="1:5" x14ac:dyDescent="0.2">
      <c r="A339" s="135" t="str">
        <f>HLOOKUP(Intro!$B$7,$B:$I,ROW(A339),FALSE)</f>
        <v>Privéonttrekking</v>
      </c>
      <c r="B339" s="135" t="s">
        <v>1170</v>
      </c>
      <c r="C339" s="135" t="s">
        <v>741</v>
      </c>
      <c r="D339" s="135" t="s">
        <v>742</v>
      </c>
      <c r="E339" s="135" t="s">
        <v>743</v>
      </c>
    </row>
    <row r="340" spans="1:5" x14ac:dyDescent="0.2">
      <c r="A340" s="135" t="str">
        <f>HLOOKUP(Intro!$B$7,$B:$I,ROW(A340),FALSE)</f>
        <v>Winst uit onderneming</v>
      </c>
      <c r="B340" s="135" t="s">
        <v>724</v>
      </c>
      <c r="C340" s="135" t="s">
        <v>1032</v>
      </c>
      <c r="D340" s="135" t="s">
        <v>744</v>
      </c>
      <c r="E340" s="137" t="s">
        <v>745</v>
      </c>
    </row>
    <row r="341" spans="1:5" x14ac:dyDescent="0.2">
      <c r="A341" s="135" t="str">
        <f>HLOOKUP(Intro!$B$7,$B:$I,ROW(A341),FALSE)</f>
        <v>Mutatie eigen vermogen</v>
      </c>
      <c r="B341" s="135" t="s">
        <v>1137</v>
      </c>
      <c r="C341" s="135" t="s">
        <v>1033</v>
      </c>
      <c r="D341" s="135" t="s">
        <v>744</v>
      </c>
      <c r="E341" s="137" t="s">
        <v>745</v>
      </c>
    </row>
    <row r="342" spans="1:5" x14ac:dyDescent="0.2">
      <c r="A342" s="135" t="str">
        <f>HLOOKUP(Intro!$B$7,$B:$I,ROW(A342),FALSE)</f>
        <v xml:space="preserve">Cashflowoverzicht  </v>
      </c>
      <c r="B342" s="135" t="s">
        <v>1171</v>
      </c>
      <c r="C342" s="135" t="s">
        <v>746</v>
      </c>
      <c r="D342" s="135" t="s">
        <v>747</v>
      </c>
      <c r="E342" s="135" t="s">
        <v>748</v>
      </c>
    </row>
    <row r="343" spans="1:5" x14ac:dyDescent="0.2">
      <c r="A343" s="135" t="str">
        <f>HLOOKUP(Intro!$B$7,$B:$I,ROW(A343),FALSE)</f>
        <v>Winst na belasting</v>
      </c>
      <c r="B343" s="135" t="s">
        <v>749</v>
      </c>
      <c r="C343" s="135" t="s">
        <v>750</v>
      </c>
      <c r="D343" s="135" t="s">
        <v>751</v>
      </c>
      <c r="E343" s="135" t="s">
        <v>752</v>
      </c>
    </row>
    <row r="344" spans="1:5" x14ac:dyDescent="0.2">
      <c r="A344" s="135" t="str">
        <f>HLOOKUP(Intro!$B$7,$B:$I,ROW(A344),FALSE)</f>
        <v>Afschrijvingskosten</v>
      </c>
      <c r="B344" s="135" t="s">
        <v>1197</v>
      </c>
      <c r="C344" s="135" t="s">
        <v>711</v>
      </c>
      <c r="D344" s="135" t="s">
        <v>712</v>
      </c>
      <c r="E344" s="135" t="s">
        <v>713</v>
      </c>
    </row>
    <row r="345" spans="1:5" x14ac:dyDescent="0.2">
      <c r="A345" s="135" t="str">
        <f>HLOOKUP(Intro!$B$7,$B:$I,ROW(A345),FALSE)</f>
        <v>Beschikbare kasmiddelen</v>
      </c>
      <c r="B345" s="135" t="s">
        <v>753</v>
      </c>
      <c r="C345" s="135" t="s">
        <v>754</v>
      </c>
      <c r="D345" s="135" t="s">
        <v>755</v>
      </c>
      <c r="E345" s="135" t="s">
        <v>756</v>
      </c>
    </row>
    <row r="346" spans="1:5" x14ac:dyDescent="0.2">
      <c r="A346" s="135" t="str">
        <f>HLOOKUP(Intro!$B$7,$B:$I,ROW(A346),FALSE)</f>
        <v>Totale privéonttrekking</v>
      </c>
      <c r="B346" s="135" t="s">
        <v>1172</v>
      </c>
      <c r="C346" s="135" t="s">
        <v>757</v>
      </c>
      <c r="D346" s="135" t="s">
        <v>758</v>
      </c>
      <c r="E346" s="135" t="s">
        <v>759</v>
      </c>
    </row>
    <row r="347" spans="1:5" x14ac:dyDescent="0.2">
      <c r="A347" s="135" t="str">
        <f>HLOOKUP(Intro!$B$7,$B:$I,ROW(A347),FALSE)</f>
        <v>Aflossingen</v>
      </c>
      <c r="B347" s="135" t="s">
        <v>760</v>
      </c>
      <c r="C347" s="135" t="s">
        <v>761</v>
      </c>
      <c r="D347" s="135" t="s">
        <v>762</v>
      </c>
      <c r="E347" s="135" t="s">
        <v>763</v>
      </c>
    </row>
    <row r="348" spans="1:5" x14ac:dyDescent="0.2">
      <c r="A348" s="135" t="str">
        <f>HLOOKUP(Intro!$B$7,$B:$I,ROW(A348),FALSE)</f>
        <v>Beschikbaar voor investeringen</v>
      </c>
      <c r="B348" s="135" t="s">
        <v>764</v>
      </c>
      <c r="C348" s="135" t="s">
        <v>765</v>
      </c>
      <c r="D348" s="135" t="s">
        <v>766</v>
      </c>
      <c r="E348" s="135" t="s">
        <v>767</v>
      </c>
    </row>
    <row r="349" spans="1:5" x14ac:dyDescent="0.2">
      <c r="A349" s="135" t="str">
        <f>HLOOKUP(Intro!$B$7,$B:$I,ROW(A349),FALSE)</f>
        <v>Wat is dit?</v>
      </c>
      <c r="B349" s="135" t="s">
        <v>1138</v>
      </c>
      <c r="C349" s="135" t="s">
        <v>553</v>
      </c>
      <c r="D349" s="135" t="s">
        <v>554</v>
      </c>
      <c r="E349" s="135" t="s">
        <v>555</v>
      </c>
    </row>
    <row r="350" spans="1:5" x14ac:dyDescent="0.2">
      <c r="A350" s="135" t="str">
        <f>HLOOKUP(Intro!$B$7,$B:$I,ROW(A350),FALSE)</f>
        <v>Klik hier om VRAGENLIJST in te vullen</v>
      </c>
      <c r="B350" s="135" t="s">
        <v>55</v>
      </c>
      <c r="C350" s="135" t="s">
        <v>556</v>
      </c>
      <c r="D350" s="135" t="s">
        <v>557</v>
      </c>
      <c r="E350" s="137" t="s">
        <v>55</v>
      </c>
    </row>
    <row r="351" spans="1:5" x14ac:dyDescent="0.2">
      <c r="E351" s="137"/>
    </row>
    <row r="352" spans="1:5" ht="15" x14ac:dyDescent="0.25">
      <c r="A352" s="146" t="str">
        <f>HLOOKUP(Intro!$B$7,$B:$I,ROW(A352),FALSE)</f>
        <v>Qredits maandlasten</v>
      </c>
      <c r="B352" s="146" t="s">
        <v>768</v>
      </c>
      <c r="C352" s="146" t="s">
        <v>769</v>
      </c>
      <c r="D352" s="146" t="s">
        <v>770</v>
      </c>
      <c r="E352" s="146" t="s">
        <v>771</v>
      </c>
    </row>
    <row r="353" spans="1:5" x14ac:dyDescent="0.2">
      <c r="A353" s="135" t="str">
        <f>HLOOKUP(Intro!$B$7,$B:$I,ROW(A353),FALSE)</f>
        <v>Qredits maandlasten</v>
      </c>
      <c r="B353" s="135" t="s">
        <v>768</v>
      </c>
      <c r="C353" s="135" t="s">
        <v>769</v>
      </c>
      <c r="D353" s="135" t="s">
        <v>770</v>
      </c>
      <c r="E353" s="135" t="s">
        <v>771</v>
      </c>
    </row>
    <row r="354" spans="1:5" x14ac:dyDescent="0.2">
      <c r="A354" s="135" t="str">
        <f>HLOOKUP(Intro!$B$7,$B:$I,ROW(A354),FALSE)</f>
        <v>Indicatie op basis van de door jou ingevulde investerings- en financieringsbegroting</v>
      </c>
      <c r="B354" s="135" t="s">
        <v>1198</v>
      </c>
      <c r="C354" s="135" t="s">
        <v>772</v>
      </c>
      <c r="D354" s="135" t="s">
        <v>773</v>
      </c>
      <c r="E354" s="135" t="s">
        <v>774</v>
      </c>
    </row>
    <row r="355" spans="1:5" x14ac:dyDescent="0.2">
      <c r="A355" s="135" t="str">
        <f>HLOOKUP(Intro!$B$7,$B:$I,ROW(A355),FALSE)</f>
        <v>Looptijd in jaren</v>
      </c>
      <c r="B355" s="135" t="s">
        <v>775</v>
      </c>
      <c r="C355" s="135" t="s">
        <v>776</v>
      </c>
      <c r="D355" s="135" t="s">
        <v>777</v>
      </c>
      <c r="E355" s="135" t="s">
        <v>778</v>
      </c>
    </row>
    <row r="356" spans="1:5" x14ac:dyDescent="0.2">
      <c r="A356" s="135" t="str">
        <f>HLOOKUP(Intro!$B$7,$B:$I,ROW(A356),FALSE)</f>
        <v>Looptijd in maanden</v>
      </c>
      <c r="B356" s="135" t="s">
        <v>779</v>
      </c>
      <c r="C356" s="135" t="s">
        <v>780</v>
      </c>
      <c r="D356" s="135" t="s">
        <v>781</v>
      </c>
      <c r="E356" s="135" t="s">
        <v>782</v>
      </c>
    </row>
    <row r="357" spans="1:5" x14ac:dyDescent="0.2">
      <c r="A357" s="135" t="str">
        <f>HLOOKUP(Intro!$B$7,$B:$I,ROW(A357),FALSE)</f>
        <v>Lening</v>
      </c>
      <c r="B357" s="135" t="s">
        <v>783</v>
      </c>
      <c r="C357" s="135" t="s">
        <v>784</v>
      </c>
      <c r="D357" s="135" t="s">
        <v>785</v>
      </c>
      <c r="E357" s="135" t="s">
        <v>786</v>
      </c>
    </row>
    <row r="358" spans="1:5" x14ac:dyDescent="0.2">
      <c r="A358" s="135" t="str">
        <f>HLOOKUP(Intro!$B$7,$B:$I,ROW(A358),FALSE)</f>
        <v>Afsluitkosten</v>
      </c>
      <c r="B358" s="135" t="s">
        <v>787</v>
      </c>
      <c r="C358" s="135" t="s">
        <v>530</v>
      </c>
      <c r="D358" s="135" t="s">
        <v>531</v>
      </c>
      <c r="E358" s="135" t="s">
        <v>532</v>
      </c>
    </row>
    <row r="359" spans="1:5" x14ac:dyDescent="0.2">
      <c r="A359" s="135" t="str">
        <f>HLOOKUP(Intro!$B$7,$B:$I,ROW(A359),FALSE)</f>
        <v>Rente % per jaar</v>
      </c>
      <c r="B359" s="135" t="s">
        <v>788</v>
      </c>
      <c r="C359" s="135" t="s">
        <v>789</v>
      </c>
      <c r="D359" s="135" t="s">
        <v>790</v>
      </c>
      <c r="E359" s="135" t="s">
        <v>791</v>
      </c>
    </row>
    <row r="360" spans="1:5" x14ac:dyDescent="0.2">
      <c r="A360" s="135" t="str">
        <f>HLOOKUP(Intro!$B$7,$B:$I,ROW(A360),FALSE)</f>
        <v>Rente % per maand</v>
      </c>
      <c r="B360" s="135" t="s">
        <v>792</v>
      </c>
      <c r="C360" s="135" t="s">
        <v>793</v>
      </c>
      <c r="D360" s="135" t="s">
        <v>794</v>
      </c>
      <c r="E360" s="135" t="s">
        <v>795</v>
      </c>
    </row>
    <row r="361" spans="1:5" x14ac:dyDescent="0.2">
      <c r="A361" s="135" t="str">
        <f>HLOOKUP(Intro!$B$7,$B:$I,ROW(A361),FALSE)</f>
        <v>Aflossing per maand</v>
      </c>
      <c r="B361" s="135" t="s">
        <v>796</v>
      </c>
      <c r="C361" s="135" t="s">
        <v>797</v>
      </c>
      <c r="D361" s="135" t="s">
        <v>798</v>
      </c>
      <c r="E361" s="135" t="s">
        <v>799</v>
      </c>
    </row>
    <row r="362" spans="1:5" x14ac:dyDescent="0.2">
      <c r="A362" s="135" t="str">
        <f>HLOOKUP(Intro!$B$7,$B:$I,ROW(A362),FALSE)</f>
        <v>Aflosmethode</v>
      </c>
      <c r="B362" s="135" t="s">
        <v>800</v>
      </c>
      <c r="C362" s="135" t="s">
        <v>801</v>
      </c>
      <c r="D362" s="135" t="s">
        <v>798</v>
      </c>
      <c r="E362" s="135" t="s">
        <v>799</v>
      </c>
    </row>
    <row r="363" spans="1:5" x14ac:dyDescent="0.2">
      <c r="A363" s="135" t="str">
        <f>HLOOKUP(Intro!$B$7,$B:$I,ROW(A363),FALSE)</f>
        <v>Maand 1e aflossing</v>
      </c>
      <c r="B363" s="135" t="s">
        <v>802</v>
      </c>
      <c r="C363" s="135" t="s">
        <v>803</v>
      </c>
      <c r="D363" s="135" t="s">
        <v>804</v>
      </c>
      <c r="E363" s="135" t="s">
        <v>805</v>
      </c>
    </row>
    <row r="364" spans="1:5" x14ac:dyDescent="0.2">
      <c r="A364" s="135" t="str">
        <f>HLOOKUP(Intro!$B$7,$B:$I,ROW(A364),FALSE)</f>
        <v xml:space="preserve">Jaar </v>
      </c>
      <c r="B364" s="135" t="s">
        <v>806</v>
      </c>
      <c r="C364" s="135" t="s">
        <v>807</v>
      </c>
      <c r="D364" s="135" t="s">
        <v>808</v>
      </c>
      <c r="E364" s="135" t="s">
        <v>809</v>
      </c>
    </row>
    <row r="365" spans="1:5" x14ac:dyDescent="0.2">
      <c r="A365" s="135" t="str">
        <f>HLOOKUP(Intro!$B$7,$B:$I,ROW(A365),FALSE)</f>
        <v>Bedrag lening begin maand</v>
      </c>
      <c r="B365" s="135" t="s">
        <v>810</v>
      </c>
      <c r="C365" s="135" t="s">
        <v>811</v>
      </c>
      <c r="D365" s="135" t="s">
        <v>812</v>
      </c>
      <c r="E365" s="135" t="s">
        <v>813</v>
      </c>
    </row>
    <row r="366" spans="1:5" x14ac:dyDescent="0.2">
      <c r="A366" s="135" t="str">
        <f>HLOOKUP(Intro!$B$7,$B:$I,ROW(A366),FALSE)</f>
        <v>Kosten rente per maand</v>
      </c>
      <c r="B366" s="135" t="s">
        <v>814</v>
      </c>
      <c r="C366" s="135" t="s">
        <v>815</v>
      </c>
      <c r="D366" s="135" t="s">
        <v>816</v>
      </c>
      <c r="E366" s="135" t="s">
        <v>817</v>
      </c>
    </row>
    <row r="367" spans="1:5" x14ac:dyDescent="0.2">
      <c r="A367" s="135" t="str">
        <f>HLOOKUP(Intro!$B$7,$B:$I,ROW(A367),FALSE)</f>
        <v>Aflossing per maand</v>
      </c>
      <c r="B367" s="135" t="s">
        <v>796</v>
      </c>
      <c r="C367" s="135" t="s">
        <v>797</v>
      </c>
      <c r="D367" s="135" t="s">
        <v>799</v>
      </c>
      <c r="E367" s="135" t="s">
        <v>799</v>
      </c>
    </row>
    <row r="368" spans="1:5" x14ac:dyDescent="0.2">
      <c r="A368" s="135" t="str">
        <f>HLOOKUP(Intro!$B$7,$B:$I,ROW(A368),FALSE)</f>
        <v>Afsluitkosten</v>
      </c>
      <c r="B368" s="135" t="s">
        <v>787</v>
      </c>
      <c r="C368" s="135" t="s">
        <v>530</v>
      </c>
      <c r="D368" s="135" t="s">
        <v>531</v>
      </c>
      <c r="E368" s="135" t="s">
        <v>532</v>
      </c>
    </row>
    <row r="369" spans="1:5" x14ac:dyDescent="0.2">
      <c r="A369" s="135" t="str">
        <f>HLOOKUP(Intro!$B$7,$B:$I,ROW(A369),FALSE)</f>
        <v>Te betalen per maand</v>
      </c>
      <c r="B369" s="135" t="s">
        <v>818</v>
      </c>
      <c r="C369" s="135" t="s">
        <v>819</v>
      </c>
      <c r="D369" s="135" t="s">
        <v>820</v>
      </c>
      <c r="E369" s="135" t="s">
        <v>821</v>
      </c>
    </row>
    <row r="370" spans="1:5" x14ac:dyDescent="0.2">
      <c r="A370" s="135" t="str">
        <f>HLOOKUP(Intro!$B$7,$B:$I,ROW(A370),FALSE)</f>
        <v>Bedrag annuïteit</v>
      </c>
      <c r="B370" s="135" t="s">
        <v>541</v>
      </c>
      <c r="C370" s="135" t="s">
        <v>1034</v>
      </c>
      <c r="D370" s="135" t="s">
        <v>543</v>
      </c>
      <c r="E370" s="135" t="s">
        <v>544</v>
      </c>
    </row>
    <row r="371" spans="1:5" x14ac:dyDescent="0.2">
      <c r="A371" s="135" t="str">
        <f>HLOOKUP(Intro!$B$7,$B:$I,ROW(A371),FALSE)</f>
        <v>Bedrag maandelijkse aflossing</v>
      </c>
      <c r="B371" s="135" t="s">
        <v>1035</v>
      </c>
      <c r="C371" s="135" t="s">
        <v>1036</v>
      </c>
      <c r="D371" s="135" t="s">
        <v>543</v>
      </c>
      <c r="E371" s="135" t="s">
        <v>544</v>
      </c>
    </row>
    <row r="372" spans="1:5" x14ac:dyDescent="0.2">
      <c r="A372" s="135" t="str">
        <f>HLOOKUP(Intro!$B$7,$B:$I,ROW(A372),FALSE)</f>
        <v>Totaal betaald gedurende de looptijd</v>
      </c>
      <c r="B372" s="135" t="s">
        <v>822</v>
      </c>
      <c r="C372" s="135" t="s">
        <v>823</v>
      </c>
      <c r="D372" s="135" t="s">
        <v>824</v>
      </c>
      <c r="E372" s="135" t="s">
        <v>825</v>
      </c>
    </row>
    <row r="373" spans="1:5" x14ac:dyDescent="0.2">
      <c r="A373" s="135" t="str">
        <f>HLOOKUP(Intro!$B$7,$B:$I,ROW(A373),FALSE)</f>
        <v>Totaal aflossing</v>
      </c>
      <c r="B373" s="135" t="s">
        <v>826</v>
      </c>
      <c r="C373" s="135" t="s">
        <v>827</v>
      </c>
      <c r="D373" s="135" t="s">
        <v>828</v>
      </c>
      <c r="E373" s="135" t="s">
        <v>829</v>
      </c>
    </row>
    <row r="374" spans="1:5" x14ac:dyDescent="0.2">
      <c r="A374" s="135" t="str">
        <f>HLOOKUP(Intro!$B$7,$B:$I,ROW(A374),FALSE)</f>
        <v>Totaal rente</v>
      </c>
      <c r="B374" s="135" t="s">
        <v>830</v>
      </c>
      <c r="C374" s="135" t="s">
        <v>831</v>
      </c>
      <c r="D374" s="135" t="s">
        <v>832</v>
      </c>
      <c r="E374" s="135" t="s">
        <v>833</v>
      </c>
    </row>
    <row r="375" spans="1:5" x14ac:dyDescent="0.2">
      <c r="A375" s="135" t="str">
        <f>HLOOKUP(Intro!$B$7,$B:$I,ROW(A375),FALSE)</f>
        <v>Totaal afsluitkosten</v>
      </c>
      <c r="B375" s="135" t="s">
        <v>834</v>
      </c>
      <c r="C375" s="135" t="s">
        <v>835</v>
      </c>
      <c r="D375" s="135" t="s">
        <v>836</v>
      </c>
      <c r="E375" s="135" t="s">
        <v>837</v>
      </c>
    </row>
    <row r="376" spans="1:5" x14ac:dyDescent="0.2">
      <c r="A376" s="135" t="str">
        <f>HLOOKUP(Intro!$B$7,$B:$I,ROW(A376),FALSE)</f>
        <v>Effectieve rente</v>
      </c>
      <c r="B376" s="135" t="s">
        <v>838</v>
      </c>
      <c r="C376" s="135" t="s">
        <v>839</v>
      </c>
      <c r="D376" s="135" t="s">
        <v>840</v>
      </c>
      <c r="E376" s="135" t="s">
        <v>841</v>
      </c>
    </row>
    <row r="378" spans="1:5" ht="15" x14ac:dyDescent="0.25">
      <c r="A378" s="146" t="str">
        <f>HLOOKUP(Intro!$B$7,$B:$I,ROW(A378),FALSE)</f>
        <v>Uitleg aftrekposten</v>
      </c>
      <c r="B378" s="146" t="s">
        <v>1075</v>
      </c>
      <c r="C378" s="146" t="s">
        <v>1076</v>
      </c>
      <c r="D378" s="146" t="s">
        <v>770</v>
      </c>
    </row>
    <row r="379" spans="1:5" x14ac:dyDescent="0.2">
      <c r="A379" s="135" t="str">
        <f>HLOOKUP(Intro!$B$7,$B:$I,ROW(A379),FALSE)</f>
        <v>Ondernemer</v>
      </c>
      <c r="B379" s="135" t="s">
        <v>1073</v>
      </c>
      <c r="C379" s="135" t="s">
        <v>1077</v>
      </c>
    </row>
    <row r="380" spans="1:5" x14ac:dyDescent="0.2">
      <c r="A380" s="135" t="str">
        <f>HLOOKUP(Intro!$B$7,$B:$I,ROW(A380),FALSE)</f>
        <v>Urencriterium</v>
      </c>
      <c r="B380" s="135" t="s">
        <v>1074</v>
      </c>
      <c r="C380" s="135" t="s">
        <v>1079</v>
      </c>
    </row>
    <row r="381" spans="1:5" ht="89.25" x14ac:dyDescent="0.2">
      <c r="A381" s="135" t="str">
        <f>HLOOKUP(Intro!$B$7,$B:$I,ROW(A381),FALSE)</f>
        <v>Als zelfstandig ondernemer kan je in aanmerking komen voor de zelfstandigenaftrek. Je mag dan een vast bedrag van je winst aftrekken. Daardoor betaal je minder belasting. 
Je hebt recht op de zelfstandigenaftrek als je:
      - Ondernemer bent
      - Voldoet aan het urencriterium
      - Aan het begin van het kalenderjaar de AOW-leeftijd nog niet hebt bereikt</v>
      </c>
      <c r="B381" s="135" t="s">
        <v>1139</v>
      </c>
      <c r="C381" s="135" t="s">
        <v>1078</v>
      </c>
    </row>
    <row r="382" spans="1:5" ht="89.25" x14ac:dyDescent="0.2">
      <c r="A382" s="135" t="str">
        <f>HLOOKUP(Intro!$B$7,$B:$I,ROW(A382),FALSE)</f>
        <v>Als startende ondernemer kan je in aanmerking komen voor de startersaftrek. Je mag dan, net als bij de zelfstandigenaftrek, een vast bedrag van je winst aftrekken. 
Je hebt recht op de startersaftrek als je:
      - Recht hebt op de zelfstandigenaftrek
      - In de afgelopen 5 jaar niet elk jaar ondernemer was
      - In de afgelopen 5 jaar de zelfstandigenaftrek maximaal twee keer hebt gebruikt</v>
      </c>
      <c r="B382" s="135" t="s">
        <v>1142</v>
      </c>
      <c r="C382" s="135" t="s">
        <v>1080</v>
      </c>
    </row>
    <row r="383" spans="1:5" ht="140.25" x14ac:dyDescent="0.2">
      <c r="A383" s="135" t="str">
        <f>HLOOKUP(Intro!$B$7,$B:$I,ROW(A383),FALSE)</f>
        <v>Werkt jouw partner (grotendeels) onbetaald mee in de onderneming, dan kan je profiteren van de meewerkaftrek. De meewerkaftrek is afhankelijk van de behaalde winst en het aantal meegewerkte uren. Houd dus een urenadministratie bij!
Je hebt recht op de meewerkaftrek als je:
      - Ondernemer bent
      - Voldoet aan het urencriterium
      - Een fiscale partner hebt die 525 uren of meer zonder vergoeding in uw onderneming werkt, of tegen een 
        vergoeding van minder dan € 5.000
      - Het aantal meegewerkte uren aannemelijk kan maken</v>
      </c>
      <c r="B383" s="135" t="s">
        <v>1140</v>
      </c>
      <c r="C383" s="135" t="s">
        <v>1081</v>
      </c>
    </row>
    <row r="384" spans="1:5" ht="409.5" x14ac:dyDescent="0.2">
      <c r="A384" s="135" t="str">
        <f>HLOOKUP(Intro!$B$7,$B:$I,ROW(A384),FALSE)</f>
        <v>Niet iedere ondernemer, is ondernemer voor de belasting. Om in aamerking te komen voor de status van ondernemer voor de belasting moet je voldoen aan een aantal voorwaarden.
De Belastindienst hanteert daarbij de volgende uitgangspunten:
      - Winst: Als je alleen een hele kleine winst hebt of structureel verlies lijdt, is het niet aannemelijk dat je winst
         gaat maken. Er is dan geen sprake van een onderneming.
      - Zelfstandigheid: Als anderen bepalen hoe je jouw onderneming moet inrichten en hoe je jouw werkzaamheden
         uitvoert, ontbreekt de zelfstandigheid en is er meestal geen sprake van een onderneming.
      - Kapitaal: Kapitaal is voor veel ondernemingen noodzakelijk. Je moet investeren in bijvoorbeeld machines, 
         reclame, inhuur van mensen en verzekeringen. Voldoende kapitaal om een onderneming te starten en enige 
         tijd draaiende te houden, wijst erop dat je mogelijk een onderneming hebt.
      - Tijd: Als je erg veel tijd aan een activiteit besteedt zonder dat dat rendement oplevert, is er meestal geen sprake 
         van een onderneming. Maar je moet wel voldoende tijd aan jouw werkzaamheden besteden om deze rendabel te 
         maken.
      - Opdrachtgevers: Het is jouw doel om meerdere opdrachtgevers te hebben, onder andere om betalings- en 
         continuïteitsrisico's te verkleinen. Als je meerdere opdrachtgevers hebt, ben je minder afhankelijk van een of 
         enkele opdrachtgevers en neemt jouw zelfstandigheid toe.
      - Uitstraling: Je bent voor jouw bestaan afhankelijk van opdrachtgevers. Om ondernemer te zijn, moet je zorgen dat 
        jouw onderneming voldoende bekend is, bijvoorbeeld via reclame, een internetsite, social media, een 
        uithangbord of eigen briefpapier.
      - Ondernemersrisico: Bestaat er een kans dat jouw opdrachtgevers niet betalen? Gebruik je jouw goede naam voor 
        de uitoefening van jouw werkzaamheden? Ben je afhankelijk van de vraag naar en het aanbod van jouw producten 
        en diensten? Loop je 'ondernemersrisico', dan heb je waarschijnlijk een onderneming.
      - Aansprakelijkheid: Als je aansprakelijk bent voor de schulden van jouw onderneming, dan ben je mogelijk 
        ondernemer.</v>
      </c>
      <c r="B384" s="135" t="s">
        <v>1141</v>
      </c>
      <c r="C384" s="135" t="s">
        <v>1082</v>
      </c>
    </row>
    <row r="385" spans="1:5" ht="165.75" x14ac:dyDescent="0.2">
      <c r="A385" s="135" t="str">
        <f>HLOOKUP(Intro!$B$7,$B:$I,ROW(A385),FALSE)</f>
        <v>Je voldoet aan het urencriterium als je:
      - In het kalenderjaar minimaal 1.225 uren aan jouw onderneming(en) hebt besteed. Onderbrak je jouw werk als 
        ondernemer door jouw zwangerschap? Dan tellen de niet-gewerkte uren over totaal 16 weken toch mee als 
        gewerkte uren.
      - Meer tijd moet besteden aan jouw ondernemingen dan aan andere werkzaamheden (bijvoorbeeld in loondienst).
Als je niet het hele jaar ondernemer bent, doordat je bijvoorbeeld in de loop van het jaar bent gestart, moet je toch minimaal 1.225 uren aan jouw onderneming(en) besteden. De 1.225 uren mogen dan niet omgerekend worden naar de periode dat je ondernemer bent.</v>
      </c>
      <c r="B385" s="135" t="s">
        <v>1143</v>
      </c>
      <c r="C385" s="135" t="s">
        <v>1083</v>
      </c>
    </row>
    <row r="386" spans="1:5" x14ac:dyDescent="0.2">
      <c r="A386" s="135" t="str">
        <f>HLOOKUP(Intro!$B$7,$B:$I,ROW(A386),FALSE)</f>
        <v>Bron: Belastingdienst</v>
      </c>
      <c r="B386" s="135" t="s">
        <v>1112</v>
      </c>
      <c r="C386" s="135" t="s">
        <v>1113</v>
      </c>
    </row>
    <row r="389" spans="1:5" x14ac:dyDescent="0.2">
      <c r="A389" s="135" t="str">
        <f>HLOOKUP(Intro!$B$7,$B:$I,ROW(A389),FALSE)</f>
        <v>Gefeliciteerd!</v>
      </c>
      <c r="B389" s="135" t="s">
        <v>842</v>
      </c>
      <c r="C389" s="135" t="s">
        <v>843</v>
      </c>
      <c r="D389" s="135" t="s">
        <v>844</v>
      </c>
      <c r="E389" s="135" t="s">
        <v>845</v>
      </c>
    </row>
    <row r="390" spans="1:5" ht="38.25" x14ac:dyDescent="0.2">
      <c r="A390" s="135" t="str">
        <f>HLOOKUP(Intro!$B$7,$B:$I,ROW(A390),FALSE)</f>
        <v>Je hebt de succesvol module 'De Cijfers' doorlopen. De antwoorden die je hebt in gevuld op de vragen in de e-learning staan op het tabblad 'Mijn Antwoorden'. Als je hieronder op 'Mijn Antwoorden' klikt kun je ze bekijken en eventueel aanpassen.</v>
      </c>
      <c r="B390" s="135" t="s">
        <v>846</v>
      </c>
      <c r="C390" s="135" t="s">
        <v>847</v>
      </c>
      <c r="D390" s="135" t="s">
        <v>848</v>
      </c>
      <c r="E390" s="135" t="s">
        <v>849</v>
      </c>
    </row>
    <row r="391" spans="1:5" x14ac:dyDescent="0.2">
      <c r="A391" s="135" t="str">
        <f>HLOOKUP(Intro!$B$7,$B:$I,ROW(A391),FALSE)</f>
        <v xml:space="preserve">    Mijn Antwoorden</v>
      </c>
      <c r="B391" s="135" t="s">
        <v>850</v>
      </c>
      <c r="C391" s="135" t="s">
        <v>851</v>
      </c>
      <c r="D391" s="135" t="s">
        <v>852</v>
      </c>
      <c r="E391" s="135" t="s">
        <v>853</v>
      </c>
    </row>
    <row r="392" spans="1:5" ht="38.25" x14ac:dyDescent="0.2">
      <c r="A392" s="135" t="str">
        <f>HLOOKUP(Intro!$B$7,$B:$I,ROW(A392),FALSE)</f>
        <v>De antwoorden die je hebt ingevuld zijn verwerkt in dit financieel plan. Met dit plan heb je in beeld wat de financiële verwachtingen van je op te starten onderneming zijn. Klik op de onderstaande begrotingen om ze te bekijken.</v>
      </c>
      <c r="B392" s="135" t="s">
        <v>854</v>
      </c>
      <c r="C392" s="135" t="s">
        <v>855</v>
      </c>
      <c r="D392" s="135" t="s">
        <v>856</v>
      </c>
      <c r="E392" s="135" t="s">
        <v>857</v>
      </c>
    </row>
  </sheetData>
  <sheetProtection algorithmName="SHA-512" hashValue="spKn1J8V9XYBKOi+bgPuspmOVtyRdMBvGMysWKRfUQZatUATBztvKbYYM8xWYTp29gVPJSfa3Fub4svA97U0ag==" saltValue="r1wuK+bzxgB7XrgHAb/7YQ==" spinCount="100000" sheet="1" objects="1" scenarios="1"/>
  <phoneticPr fontId="92" type="noConversion"/>
  <conditionalFormatting sqref="B183:B193 B195:B200 B203 B205:B213">
    <cfRule type="containsText" dxfId="8" priority="1" operator="containsText" text="&quot;ALS&quot;">
      <formula>NOT(ISERROR(SEARCH("""ALS""",B183)))</formula>
    </cfRule>
  </conditionalFormatting>
  <conditionalFormatting sqref="B2:C2 B44:C180 C181:C213 B214:C214">
    <cfRule type="containsText" dxfId="7" priority="4" operator="containsText" text="&quot;ALS&quot;">
      <formula>NOT(ISERROR(SEARCH("""ALS""",B2)))</formula>
    </cfRule>
  </conditionalFormatting>
  <conditionalFormatting sqref="B4:C25">
    <cfRule type="containsText" dxfId="6" priority="54" operator="containsText" text="&quot;ALS&quot;">
      <formula>NOT(ISERROR(SEARCH("""ALS""",B4)))</formula>
    </cfRule>
  </conditionalFormatting>
  <conditionalFormatting sqref="B27:C41">
    <cfRule type="containsText" dxfId="5" priority="11" operator="containsText" text="&quot;ALS&quot;">
      <formula>NOT(ISERROR(SEARCH("""ALS""",B27)))</formula>
    </cfRule>
  </conditionalFormatting>
  <conditionalFormatting sqref="B227:C227">
    <cfRule type="containsText" dxfId="4" priority="51" operator="containsText" text="&quot;ALS&quot;">
      <formula>NOT(ISERROR(SEARCH("""ALS""",B227)))</formula>
    </cfRule>
  </conditionalFormatting>
  <conditionalFormatting sqref="B23:E23">
    <cfRule type="containsText" dxfId="3" priority="23" operator="containsText" text="&quot;ALS&quot;">
      <formula>NOT(ISERROR(SEARCH("""ALS""",B23)))</formula>
    </cfRule>
  </conditionalFormatting>
  <conditionalFormatting sqref="C218">
    <cfRule type="containsText" dxfId="2" priority="8" operator="containsText" text="&quot;ALS&quot;">
      <formula>NOT(ISERROR(SEARCH("""ALS""",C218)))</formula>
    </cfRule>
  </conditionalFormatting>
  <conditionalFormatting sqref="D36:E36">
    <cfRule type="containsText" dxfId="1" priority="2" operator="containsText" text="&quot;ALS&quot;">
      <formula>NOT(ISERROR(SEARCH("""ALS""",D36)))</formula>
    </cfRule>
  </conditionalFormatting>
  <conditionalFormatting sqref="D72:E73">
    <cfRule type="containsText" dxfId="0" priority="5" operator="containsText" text="&quot;ALS&quot;">
      <formula>NOT(ISERROR(SEARCH("""ALS""",D72)))</formula>
    </cfRule>
  </conditionalFormatting>
  <hyperlinks>
    <hyperlink ref="B23" r:id="rId1" xr:uid="{09264AB3-D169-400F-A1CC-7729BD76890E}"/>
    <hyperlink ref="C23" r:id="rId2" xr:uid="{83890803-1A66-42A2-890B-EA954A6B50C6}"/>
  </hyperlinks>
  <pageMargins left="0.7" right="0.7" top="0.75" bottom="0.75" header="0.3" footer="0.3"/>
  <pageSetup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B369"/>
  <sheetViews>
    <sheetView zoomScaleNormal="100" workbookViewId="0">
      <pane xSplit="8" ySplit="8" topLeftCell="I21" activePane="bottomRight" state="frozen"/>
      <selection pane="topRight" activeCell="I1" sqref="I1"/>
      <selection pane="bottomLeft" activeCell="A9" sqref="A9"/>
      <selection pane="bottomRight" activeCell="S39" sqref="S39"/>
    </sheetView>
  </sheetViews>
  <sheetFormatPr defaultColWidth="9.140625" defaultRowHeight="15" x14ac:dyDescent="0.25"/>
  <cols>
    <col min="1" max="1" width="1.7109375" style="120" customWidth="1"/>
    <col min="2" max="2" width="8" style="119" bestFit="1" customWidth="1"/>
    <col min="3" max="3" width="13.7109375" style="119" customWidth="1"/>
    <col min="4" max="4" width="1.7109375" style="120" customWidth="1"/>
    <col min="5" max="6" width="13.7109375" style="119" customWidth="1"/>
    <col min="7" max="7" width="10.7109375" style="119" bestFit="1" customWidth="1"/>
    <col min="8" max="8" width="1.7109375" style="120" customWidth="1"/>
    <col min="9" max="9" width="10.5703125" style="119" bestFit="1" customWidth="1"/>
    <col min="10" max="13" width="13.7109375" style="119" customWidth="1"/>
    <col min="14" max="14" width="1.7109375" style="120" customWidth="1"/>
    <col min="15" max="15" width="16.7109375" style="119" customWidth="1"/>
    <col min="16" max="17" width="13.7109375" style="119" customWidth="1"/>
    <col min="18" max="18" width="1.7109375" style="120" customWidth="1"/>
    <col min="19" max="19" width="10.5703125" style="119" bestFit="1" customWidth="1"/>
    <col min="20" max="22" width="13.7109375" style="119" customWidth="1"/>
    <col min="23" max="23" width="1.7109375" style="120" customWidth="1"/>
    <col min="24" max="24" width="10.5703125" style="119" bestFit="1" customWidth="1"/>
    <col min="25" max="25" width="12.5703125" style="119" bestFit="1" customWidth="1"/>
    <col min="26" max="16384" width="9.140625" style="119"/>
  </cols>
  <sheetData>
    <row r="1" spans="1:25" x14ac:dyDescent="0.25">
      <c r="A1" s="482" t="s">
        <v>858</v>
      </c>
      <c r="B1" s="482"/>
      <c r="C1" s="482"/>
      <c r="D1" s="482"/>
      <c r="E1" s="482"/>
      <c r="F1" s="482"/>
      <c r="G1" s="482"/>
      <c r="H1" s="482"/>
      <c r="I1" s="482"/>
      <c r="J1" s="482"/>
      <c r="K1" s="482"/>
      <c r="L1" s="482"/>
      <c r="M1" s="482"/>
      <c r="N1" s="482"/>
      <c r="O1" s="482"/>
      <c r="P1" s="482"/>
      <c r="Q1" s="482"/>
      <c r="R1" s="482"/>
      <c r="S1" s="482"/>
      <c r="T1" s="482"/>
      <c r="U1" s="482"/>
      <c r="V1" s="482"/>
      <c r="W1" s="482"/>
    </row>
    <row r="2" spans="1:25" x14ac:dyDescent="0.25">
      <c r="A2" s="482"/>
      <c r="B2" s="482"/>
      <c r="C2" s="482"/>
      <c r="D2" s="482"/>
      <c r="E2" s="482"/>
      <c r="F2" s="482"/>
      <c r="G2" s="482"/>
      <c r="H2" s="482"/>
      <c r="I2" s="482"/>
      <c r="J2" s="482"/>
      <c r="K2" s="482"/>
      <c r="L2" s="482"/>
      <c r="M2" s="482"/>
      <c r="N2" s="482"/>
      <c r="O2" s="482"/>
      <c r="P2" s="482"/>
      <c r="Q2" s="482"/>
      <c r="R2" s="482"/>
      <c r="S2" s="482"/>
      <c r="T2" s="482"/>
      <c r="U2" s="482"/>
      <c r="V2" s="482"/>
      <c r="W2" s="482"/>
    </row>
    <row r="3" spans="1:25" x14ac:dyDescent="0.25">
      <c r="A3" s="482" t="str">
        <f>IF('Qredits maandlasten'!$C$10=dropdowns!$A$120,"ANNUÏTAIRE","")&amp;IF('Qredits maandlasten'!$C$10=dropdowns!$A$121,"LINEAIRE","")&amp;" LEENLAAG"</f>
        <v>ANNUÏTAIRE LEENLAAG</v>
      </c>
      <c r="B3" s="482"/>
      <c r="C3" s="482"/>
      <c r="D3" s="482"/>
      <c r="E3" s="482"/>
      <c r="F3" s="482"/>
      <c r="G3" s="482"/>
      <c r="H3" s="482"/>
      <c r="I3" s="482"/>
      <c r="J3" s="482"/>
      <c r="K3" s="482"/>
      <c r="L3" s="482"/>
      <c r="M3" s="482"/>
      <c r="N3" s="482"/>
      <c r="O3" s="482"/>
      <c r="P3" s="482"/>
      <c r="Q3" s="482"/>
      <c r="R3" s="482"/>
      <c r="S3" s="482"/>
      <c r="T3" s="482"/>
      <c r="U3" s="482"/>
      <c r="V3" s="482"/>
      <c r="W3" s="482"/>
    </row>
    <row r="4" spans="1:25" x14ac:dyDescent="0.25">
      <c r="A4" s="482"/>
      <c r="B4" s="482"/>
      <c r="C4" s="482"/>
      <c r="D4" s="482"/>
      <c r="E4" s="482"/>
      <c r="F4" s="482"/>
      <c r="G4" s="482"/>
      <c r="H4" s="482"/>
      <c r="I4" s="482"/>
      <c r="J4" s="482"/>
      <c r="K4" s="482"/>
      <c r="L4" s="482"/>
      <c r="M4" s="482"/>
      <c r="N4" s="482"/>
      <c r="O4" s="482"/>
      <c r="P4" s="482"/>
      <c r="Q4" s="482"/>
      <c r="R4" s="482"/>
      <c r="S4" s="482"/>
      <c r="T4" s="482"/>
      <c r="U4" s="482"/>
      <c r="V4" s="482"/>
      <c r="W4" s="482"/>
    </row>
    <row r="5" spans="1:25" ht="7.5" customHeight="1" x14ac:dyDescent="0.25">
      <c r="B5" s="120"/>
      <c r="C5" s="120"/>
      <c r="E5" s="120"/>
      <c r="F5" s="120"/>
      <c r="G5" s="120"/>
      <c r="I5" s="120"/>
      <c r="J5" s="120"/>
      <c r="K5" s="120"/>
      <c r="L5" s="120"/>
      <c r="M5" s="120"/>
      <c r="O5" s="120"/>
      <c r="P5" s="120"/>
      <c r="Q5" s="120"/>
      <c r="S5" s="120"/>
      <c r="T5" s="120"/>
      <c r="U5" s="120"/>
      <c r="V5" s="120"/>
    </row>
    <row r="6" spans="1:25" ht="15" customHeight="1" x14ac:dyDescent="0.25">
      <c r="B6" s="483" t="s">
        <v>859</v>
      </c>
      <c r="C6" s="483"/>
      <c r="E6" s="483" t="s">
        <v>860</v>
      </c>
      <c r="F6" s="483"/>
      <c r="G6" s="483"/>
      <c r="I6" s="483" t="s">
        <v>861</v>
      </c>
      <c r="J6" s="483"/>
      <c r="K6" s="483"/>
      <c r="L6" s="483"/>
      <c r="M6" s="483"/>
      <c r="O6" s="483" t="s">
        <v>862</v>
      </c>
      <c r="P6" s="483"/>
      <c r="Q6" s="483"/>
      <c r="S6" s="483" t="s">
        <v>863</v>
      </c>
      <c r="T6" s="483"/>
      <c r="U6" s="483"/>
      <c r="V6" s="483"/>
    </row>
    <row r="7" spans="1:25" s="122" customFormat="1" ht="30" customHeight="1" x14ac:dyDescent="0.2">
      <c r="A7" s="121"/>
      <c r="B7" s="144" t="s">
        <v>864</v>
      </c>
      <c r="C7" s="144" t="s">
        <v>865</v>
      </c>
      <c r="D7" s="121"/>
      <c r="E7" s="144" t="s">
        <v>866</v>
      </c>
      <c r="F7" s="144" t="s">
        <v>867</v>
      </c>
      <c r="G7" s="144" t="s">
        <v>868</v>
      </c>
      <c r="H7" s="121"/>
      <c r="I7" s="144" t="s">
        <v>869</v>
      </c>
      <c r="J7" s="144" t="s">
        <v>861</v>
      </c>
      <c r="K7" s="144" t="s">
        <v>862</v>
      </c>
      <c r="L7" s="144" t="s">
        <v>870</v>
      </c>
      <c r="M7" s="144" t="s">
        <v>871</v>
      </c>
      <c r="N7" s="121"/>
      <c r="O7" s="144" t="s">
        <v>872</v>
      </c>
      <c r="P7" s="144" t="s">
        <v>873</v>
      </c>
      <c r="Q7" s="144" t="s">
        <v>874</v>
      </c>
      <c r="R7" s="121"/>
      <c r="S7" s="144" t="s">
        <v>869</v>
      </c>
      <c r="T7" s="144" t="s">
        <v>861</v>
      </c>
      <c r="U7" s="144" t="s">
        <v>870</v>
      </c>
      <c r="V7" s="144" t="s">
        <v>862</v>
      </c>
      <c r="W7" s="121"/>
    </row>
    <row r="8" spans="1:25" ht="7.5" customHeight="1" x14ac:dyDescent="0.25">
      <c r="B8" s="120"/>
      <c r="C8" s="120"/>
      <c r="E8" s="120"/>
      <c r="F8" s="120"/>
      <c r="G8" s="120"/>
      <c r="I8" s="120"/>
      <c r="J8" s="120"/>
      <c r="K8" s="120"/>
      <c r="L8" s="120"/>
      <c r="M8" s="120"/>
      <c r="O8" s="120"/>
      <c r="P8" s="120"/>
      <c r="Q8" s="120"/>
      <c r="S8" s="120"/>
      <c r="T8" s="120"/>
      <c r="U8" s="120"/>
      <c r="V8" s="120"/>
    </row>
    <row r="9" spans="1:25" s="132" customFormat="1" ht="15" customHeight="1" x14ac:dyDescent="0.2">
      <c r="A9" s="123"/>
      <c r="B9" s="124">
        <v>0</v>
      </c>
      <c r="C9" s="125">
        <f ca="1">EOMONTH(TODAY(),0)+1</f>
        <v>46327</v>
      </c>
      <c r="D9" s="123"/>
      <c r="E9" s="125">
        <f ca="1">C9</f>
        <v>46327</v>
      </c>
      <c r="F9" s="125">
        <f ca="1">E9</f>
        <v>46327</v>
      </c>
      <c r="G9" s="126">
        <v>0</v>
      </c>
      <c r="H9" s="127"/>
      <c r="I9" s="128">
        <f>'Qredits maandlasten'!$C$5</f>
        <v>0</v>
      </c>
      <c r="J9" s="128">
        <v>0</v>
      </c>
      <c r="K9" s="128">
        <v>0</v>
      </c>
      <c r="L9" s="128">
        <f>I9</f>
        <v>0</v>
      </c>
      <c r="M9" s="128">
        <f>L9-'Qredits maandlasten'!$C$6</f>
        <v>0</v>
      </c>
      <c r="N9" s="127"/>
      <c r="O9" s="129">
        <f>'Qredits maandlasten'!$C$8</f>
        <v>9.1249999999999994E-3</v>
      </c>
      <c r="P9" s="129">
        <f>'Qredits maandlasten'!$C$8*(POWER(1+'Qredits maandlasten'!$C$8,$B9-1+1))</f>
        <v>9.1249999999999994E-3</v>
      </c>
      <c r="Q9" s="129">
        <v>0</v>
      </c>
      <c r="R9" s="127"/>
      <c r="S9" s="128">
        <f>'Qredits maandlasten'!$C$5</f>
        <v>0</v>
      </c>
      <c r="T9" s="128">
        <f>J9/(POWER(1+'Qredits maandlasten'!$C$8,$B9-1+1))</f>
        <v>0</v>
      </c>
      <c r="U9" s="130">
        <f>T9+V9</f>
        <v>0</v>
      </c>
      <c r="V9" s="128">
        <f>K9/(POWER(1+'Qredits maandlasten'!$C$8,$B9-1+1))</f>
        <v>0</v>
      </c>
      <c r="W9" s="127"/>
      <c r="X9" s="130"/>
      <c r="Y9" s="131"/>
    </row>
    <row r="10" spans="1:25" s="132" customFormat="1" x14ac:dyDescent="0.2">
      <c r="A10" s="123"/>
      <c r="B10" s="124" t="str">
        <f>IF($B9="","",IF($B9+1&gt;'Qredits maandlasten'!$C$4,"",Schema!B9+1))</f>
        <v/>
      </c>
      <c r="C10" s="125" t="str">
        <f>IF($B9="","",IF($B9+1&gt;'Qredits maandlasten'!$C$4,"",EOMONTH(C9,0)+1))</f>
        <v/>
      </c>
      <c r="D10" s="123"/>
      <c r="E10" s="125" t="str">
        <f>IF($B9="","",IF($B9+1&gt;'Qredits maandlasten'!$C$4,"",E9))</f>
        <v/>
      </c>
      <c r="F10" s="125" t="str">
        <f>IF($B9="","",IF($B9+1&gt;'Qredits maandlasten'!$C$4,"",EOMONTH(E10,0)))</f>
        <v/>
      </c>
      <c r="G10" s="126" t="str">
        <f>IF($B9="","",IF($B9+1&gt;'Qredits maandlasten'!$C$4,"",(_xlfn.DAYS(F10,E10)+1)/DAY(F10)))</f>
        <v/>
      </c>
      <c r="H10" s="127"/>
      <c r="I10" s="128" t="str">
        <f>IF($B9="","",IF($B9+1&gt;'Qredits maandlasten'!$C$4,"",I9-J9))</f>
        <v/>
      </c>
      <c r="J10" s="128" t="str">
        <f>IF($B9="","",IF($B9+1&gt;'Qredits maandlasten'!$C$4,"",IF(B9&lt;'Qredits maandlasten'!$C$11-1,0,IF('Qredits maandlasten'!$C$10=dropdowns!$A$121,'Qredits maandlasten'!$J$3,IF('Qredits maandlasten'!$C$10=dropdowns!$A$120,IFERROR('Qredits maandlasten'!$J$3-K10,0),0)))))</f>
        <v/>
      </c>
      <c r="K10" s="128" t="str">
        <f>IF($B9="","",IF($B9+1&gt;'Qredits maandlasten'!$C$4,"",G10*I10*'Qredits maandlasten'!$C$8))</f>
        <v/>
      </c>
      <c r="L10" s="128" t="str">
        <f>IF(S10="","",-K10-J10)</f>
        <v/>
      </c>
      <c r="M10" s="128" t="str">
        <f t="shared" ref="M10:M73" si="0">IF(S10="","",-K10-J10)</f>
        <v/>
      </c>
      <c r="N10" s="127"/>
      <c r="O10" s="129" t="str">
        <f>IF($B10="","",'Qredits maandlasten'!$C$8)</f>
        <v/>
      </c>
      <c r="P10" s="129" t="str">
        <f>IF($B10="","",'Qredits maandlasten'!$C$8*(POWER(1+'Qredits maandlasten'!$C$8,$B10-1+1)))</f>
        <v/>
      </c>
      <c r="Q10" s="129" t="str">
        <f>IF($B10="","",IFERROR(J10/T10-1,0))</f>
        <v/>
      </c>
      <c r="R10" s="127"/>
      <c r="S10" s="128" t="str">
        <f t="shared" ref="S10:S73" si="1">IF(B10="","",IF(S9-T9&lt;0,"",S9-T9))</f>
        <v/>
      </c>
      <c r="T10" s="128" t="str">
        <f>IF(S10="","",J10/(POWER(1+'Qredits maandlasten'!$C$8,$B10-1+1)))</f>
        <v/>
      </c>
      <c r="U10" s="130" t="str">
        <f>IF(S10="","",T10+V10)</f>
        <v/>
      </c>
      <c r="V10" s="128" t="str">
        <f>IF($B10="","",K10/(POWER(1+'Qredits maandlasten'!$C$8,$B10-1+1)))</f>
        <v/>
      </c>
      <c r="W10" s="127"/>
      <c r="X10" s="130"/>
      <c r="Y10" s="131"/>
    </row>
    <row r="11" spans="1:25" s="132" customFormat="1" x14ac:dyDescent="0.2">
      <c r="A11" s="123"/>
      <c r="B11" s="124" t="str">
        <f>IF($B10="","",IF($B10+1&gt;'Qredits maandlasten'!$C$4,"",Schema!B10+1))</f>
        <v/>
      </c>
      <c r="C11" s="125" t="str">
        <f>IF($B10="","",IF($B10+1&gt;'Qredits maandlasten'!$C$4,"",EOMONTH(C10,0)+1))</f>
        <v/>
      </c>
      <c r="D11" s="123"/>
      <c r="E11" s="125" t="str">
        <f>IF($B10="","",IF($B10+1&gt;'Qredits maandlasten'!$C$4,"",F10+1))</f>
        <v/>
      </c>
      <c r="F11" s="125" t="str">
        <f>IF($B10="","",IF($B10+1&gt;'Qredits maandlasten'!$C$4,"",EOMONTH(E11,0)))</f>
        <v/>
      </c>
      <c r="G11" s="126" t="str">
        <f>IF($B10="","",IF($B10+1&gt;'Qredits maandlasten'!$C$4,"",(_xlfn.DAYS(F11,E11)+1)/DAY(F11)))</f>
        <v/>
      </c>
      <c r="H11" s="127"/>
      <c r="I11" s="128" t="str">
        <f>IF($B10="","",IF($B10+1&gt;'Qredits maandlasten'!$C$4,"",I10-J10))</f>
        <v/>
      </c>
      <c r="J11" s="128" t="str">
        <f>IF($B10="","",IF($B10+1&gt;'Qredits maandlasten'!$C$4,"",IF(B10&lt;'Qredits maandlasten'!$C$11-1,0,IF('Qredits maandlasten'!$C$10=dropdowns!$A$121,'Qredits maandlasten'!$J$3,IF('Qredits maandlasten'!$C$10=dropdowns!$A$120,IFERROR('Qredits maandlasten'!$J$3-K11,0),0)))))</f>
        <v/>
      </c>
      <c r="K11" s="128" t="str">
        <f>IF($B10="","",IF($B10+1&gt;'Qredits maandlasten'!$C$4,"",G11*I11*'Qredits maandlasten'!$C$8))</f>
        <v/>
      </c>
      <c r="L11" s="128" t="str">
        <f t="shared" ref="L11:L74" si="2">IF(S11="","",-K11-J11)</f>
        <v/>
      </c>
      <c r="M11" s="128" t="str">
        <f t="shared" si="0"/>
        <v/>
      </c>
      <c r="N11" s="127"/>
      <c r="O11" s="129" t="str">
        <f>IF($B11="","",'Qredits maandlasten'!$C$8)</f>
        <v/>
      </c>
      <c r="P11" s="129" t="str">
        <f>IF($B11="","",'Qredits maandlasten'!$C$8*(POWER(1+'Qredits maandlasten'!$C$8,$B11-1+1)))</f>
        <v/>
      </c>
      <c r="Q11" s="129" t="str">
        <f t="shared" ref="Q11:Q74" si="3">IF($B11="","",IFERROR(J11/T11-1,0))</f>
        <v/>
      </c>
      <c r="R11" s="127"/>
      <c r="S11" s="128" t="str">
        <f t="shared" si="1"/>
        <v/>
      </c>
      <c r="T11" s="128" t="str">
        <f>IF(S11="","",J11/(POWER(1+'Qredits maandlasten'!$C$8,$B11-1+1)))</f>
        <v/>
      </c>
      <c r="U11" s="130" t="str">
        <f t="shared" ref="U11:U74" si="4">IF(S11="","",T11+V11)</f>
        <v/>
      </c>
      <c r="V11" s="128" t="str">
        <f>IF($B11="","",K11/(POWER(1+'Qredits maandlasten'!$C$8,$B11-1+1)))</f>
        <v/>
      </c>
      <c r="W11" s="127"/>
      <c r="X11" s="130"/>
      <c r="Y11" s="131"/>
    </row>
    <row r="12" spans="1:25" s="132" customFormat="1" x14ac:dyDescent="0.2">
      <c r="A12" s="123"/>
      <c r="B12" s="124" t="str">
        <f>IF($B11="","",IF($B11+1&gt;'Qredits maandlasten'!$C$4,"",Schema!B11+1))</f>
        <v/>
      </c>
      <c r="C12" s="125" t="str">
        <f>IF($B11="","",IF($B11+1&gt;'Qredits maandlasten'!$C$4,"",EOMONTH(C11,0)+1))</f>
        <v/>
      </c>
      <c r="D12" s="123"/>
      <c r="E12" s="125" t="str">
        <f>IF($B11="","",IF($B11+1&gt;'Qredits maandlasten'!$C$4,"",F11+1))</f>
        <v/>
      </c>
      <c r="F12" s="125" t="str">
        <f>IF($B11="","",IF($B11+1&gt;'Qredits maandlasten'!$C$4,"",EOMONTH(E12,0)))</f>
        <v/>
      </c>
      <c r="G12" s="126" t="str">
        <f>IF($B11="","",IF($B11+1&gt;'Qredits maandlasten'!$C$4,"",(_xlfn.DAYS(F12,E12)+1)/DAY(F12)))</f>
        <v/>
      </c>
      <c r="H12" s="127"/>
      <c r="I12" s="128" t="str">
        <f>IF($B11="","",IF($B11+1&gt;'Qredits maandlasten'!$C$4,"",I11-J11))</f>
        <v/>
      </c>
      <c r="J12" s="128" t="str">
        <f>IF($B11="","",IF($B11+1&gt;'Qredits maandlasten'!$C$4,"",IF(B11&lt;'Qredits maandlasten'!$C$11-1,0,IF('Qredits maandlasten'!$C$10=dropdowns!$A$121,'Qredits maandlasten'!$J$3,IF('Qredits maandlasten'!$C$10=dropdowns!$A$120,IFERROR('Qredits maandlasten'!$J$3-K12,0),0)))))</f>
        <v/>
      </c>
      <c r="K12" s="128" t="str">
        <f>IF($B11="","",IF($B11+1&gt;'Qredits maandlasten'!$C$4,"",G12*I12*'Qredits maandlasten'!$C$8))</f>
        <v/>
      </c>
      <c r="L12" s="128" t="str">
        <f t="shared" si="2"/>
        <v/>
      </c>
      <c r="M12" s="128" t="str">
        <f t="shared" si="0"/>
        <v/>
      </c>
      <c r="N12" s="127"/>
      <c r="O12" s="129" t="str">
        <f>IF($B12="","",'Qredits maandlasten'!$C$8)</f>
        <v/>
      </c>
      <c r="P12" s="129" t="str">
        <f>IF($B12="","",'Qredits maandlasten'!$C$8*(POWER(1+'Qredits maandlasten'!$C$8,$B12-1+1)))</f>
        <v/>
      </c>
      <c r="Q12" s="129" t="str">
        <f t="shared" si="3"/>
        <v/>
      </c>
      <c r="R12" s="127"/>
      <c r="S12" s="128" t="str">
        <f t="shared" si="1"/>
        <v/>
      </c>
      <c r="T12" s="128" t="str">
        <f>IF(S12="","",J12/(POWER(1+'Qredits maandlasten'!$C$8,$B12-1+1)))</f>
        <v/>
      </c>
      <c r="U12" s="130" t="str">
        <f t="shared" si="4"/>
        <v/>
      </c>
      <c r="V12" s="128" t="str">
        <f>IF($B12="","",K12/(POWER(1+'Qredits maandlasten'!$C$8,$B12-1+1)))</f>
        <v/>
      </c>
      <c r="W12" s="127"/>
      <c r="X12" s="130"/>
      <c r="Y12" s="131"/>
    </row>
    <row r="13" spans="1:25" s="132" customFormat="1" x14ac:dyDescent="0.2">
      <c r="A13" s="123"/>
      <c r="B13" s="124" t="str">
        <f>IF($B12="","",IF($B12+1&gt;'Qredits maandlasten'!$C$4,"",Schema!B12+1))</f>
        <v/>
      </c>
      <c r="C13" s="125" t="str">
        <f>IF($B12="","",IF($B12+1&gt;'Qredits maandlasten'!$C$4,"",EOMONTH(C12,0)+1))</f>
        <v/>
      </c>
      <c r="D13" s="123"/>
      <c r="E13" s="125" t="str">
        <f>IF($B12="","",IF($B12+1&gt;'Qredits maandlasten'!$C$4,"",F12+1))</f>
        <v/>
      </c>
      <c r="F13" s="125" t="str">
        <f>IF($B12="","",IF($B12+1&gt;'Qredits maandlasten'!$C$4,"",EOMONTH(E13,0)))</f>
        <v/>
      </c>
      <c r="G13" s="126" t="str">
        <f>IF($B12="","",IF($B12+1&gt;'Qredits maandlasten'!$C$4,"",(_xlfn.DAYS(F13,E13)+1)/DAY(F13)))</f>
        <v/>
      </c>
      <c r="H13" s="127"/>
      <c r="I13" s="128" t="str">
        <f>IF($B12="","",IF($B12+1&gt;'Qredits maandlasten'!$C$4,"",I12-J12))</f>
        <v/>
      </c>
      <c r="J13" s="128" t="str">
        <f>IF($B12="","",IF($B12+1&gt;'Qredits maandlasten'!$C$4,"",IF(B12&lt;'Qredits maandlasten'!$C$11-1,0,IF('Qredits maandlasten'!$C$10=dropdowns!$A$121,'Qredits maandlasten'!$J$3,IF('Qredits maandlasten'!$C$10=dropdowns!$A$120,IFERROR('Qredits maandlasten'!$J$3-K13,0),0)))))</f>
        <v/>
      </c>
      <c r="K13" s="128" t="str">
        <f>IF($B12="","",IF($B12+1&gt;'Qredits maandlasten'!$C$4,"",G13*I13*'Qredits maandlasten'!$C$8))</f>
        <v/>
      </c>
      <c r="L13" s="128" t="str">
        <f>IF(S13="","",-K13-J13)</f>
        <v/>
      </c>
      <c r="M13" s="128" t="str">
        <f t="shared" si="0"/>
        <v/>
      </c>
      <c r="N13" s="127"/>
      <c r="O13" s="129" t="str">
        <f>IF($B13="","",'Qredits maandlasten'!$C$8)</f>
        <v/>
      </c>
      <c r="P13" s="129" t="str">
        <f>IF($B13="","",'Qredits maandlasten'!$C$8*(POWER(1+'Qredits maandlasten'!$C$8,$B13-1+1)))</f>
        <v/>
      </c>
      <c r="Q13" s="129" t="str">
        <f t="shared" si="3"/>
        <v/>
      </c>
      <c r="R13" s="127"/>
      <c r="S13" s="128" t="str">
        <f t="shared" si="1"/>
        <v/>
      </c>
      <c r="T13" s="128" t="str">
        <f>IF(S13="","",J13/(POWER(1+'Qredits maandlasten'!$C$8,$B13-1+1)))</f>
        <v/>
      </c>
      <c r="U13" s="130" t="str">
        <f t="shared" si="4"/>
        <v/>
      </c>
      <c r="V13" s="128" t="str">
        <f>IF($B13="","",K13/(POWER(1+'Qredits maandlasten'!$C$8,$B13-1+1)))</f>
        <v/>
      </c>
      <c r="W13" s="127"/>
      <c r="X13" s="130"/>
      <c r="Y13" s="131"/>
    </row>
    <row r="14" spans="1:25" s="132" customFormat="1" x14ac:dyDescent="0.2">
      <c r="A14" s="123"/>
      <c r="B14" s="124" t="str">
        <f>IF($B13="","",IF($B13+1&gt;'Qredits maandlasten'!$C$4,"",Schema!B13+1))</f>
        <v/>
      </c>
      <c r="C14" s="125" t="str">
        <f>IF($B13="","",IF($B13+1&gt;'Qredits maandlasten'!$C$4,"",EOMONTH(C13,0)+1))</f>
        <v/>
      </c>
      <c r="D14" s="123"/>
      <c r="E14" s="125" t="str">
        <f>IF($B13="","",IF($B13+1&gt;'Qredits maandlasten'!$C$4,"",F13+1))</f>
        <v/>
      </c>
      <c r="F14" s="125" t="str">
        <f>IF($B13="","",IF($B13+1&gt;'Qredits maandlasten'!$C$4,"",EOMONTH(E14,0)))</f>
        <v/>
      </c>
      <c r="G14" s="126" t="str">
        <f>IF($B13="","",IF($B13+1&gt;'Qredits maandlasten'!$C$4,"",(_xlfn.DAYS(F14,E14)+1)/DAY(F14)))</f>
        <v/>
      </c>
      <c r="H14" s="127"/>
      <c r="I14" s="128" t="str">
        <f>IF($B13="","",IF($B13+1&gt;'Qredits maandlasten'!$C$4,"",I13-J13))</f>
        <v/>
      </c>
      <c r="J14" s="128" t="str">
        <f>IF($B13="","",IF($B13+1&gt;'Qredits maandlasten'!$C$4,"",IF(B13&lt;'Qredits maandlasten'!$C$11-1,0,IF('Qredits maandlasten'!$C$10=dropdowns!$A$121,'Qredits maandlasten'!$J$3,IF('Qredits maandlasten'!$C$10=dropdowns!$A$120,IFERROR('Qredits maandlasten'!$J$3-K14,0),0)))))</f>
        <v/>
      </c>
      <c r="K14" s="128" t="str">
        <f>IF($B13="","",IF($B13+1&gt;'Qredits maandlasten'!$C$4,"",G14*I14*'Qredits maandlasten'!$C$8))</f>
        <v/>
      </c>
      <c r="L14" s="128" t="str">
        <f t="shared" si="2"/>
        <v/>
      </c>
      <c r="M14" s="128" t="str">
        <f t="shared" si="0"/>
        <v/>
      </c>
      <c r="N14" s="127"/>
      <c r="O14" s="129" t="str">
        <f>IF($B14="","",'Qredits maandlasten'!$C$8)</f>
        <v/>
      </c>
      <c r="P14" s="129" t="str">
        <f>IF($B14="","",'Qredits maandlasten'!$C$8*(POWER(1+'Qredits maandlasten'!$C$8,$B14-1+1)))</f>
        <v/>
      </c>
      <c r="Q14" s="129" t="str">
        <f t="shared" si="3"/>
        <v/>
      </c>
      <c r="R14" s="127"/>
      <c r="S14" s="128" t="str">
        <f t="shared" si="1"/>
        <v/>
      </c>
      <c r="T14" s="128" t="str">
        <f>IF(S14="","",J14/(POWER(1+'Qredits maandlasten'!$C$8,$B14-1+1)))</f>
        <v/>
      </c>
      <c r="U14" s="130" t="str">
        <f t="shared" si="4"/>
        <v/>
      </c>
      <c r="V14" s="128" t="str">
        <f>IF($B14="","",K14/(POWER(1+'Qredits maandlasten'!$C$8,$B14-1+1)))</f>
        <v/>
      </c>
      <c r="W14" s="127"/>
      <c r="X14" s="130"/>
      <c r="Y14" s="131"/>
    </row>
    <row r="15" spans="1:25" s="132" customFormat="1" x14ac:dyDescent="0.2">
      <c r="A15" s="123"/>
      <c r="B15" s="124" t="str">
        <f>IF($B14="","",IF($B14+1&gt;'Qredits maandlasten'!$C$4,"",Schema!B14+1))</f>
        <v/>
      </c>
      <c r="C15" s="125" t="str">
        <f>IF($B14="","",IF($B14+1&gt;'Qredits maandlasten'!$C$4,"",EOMONTH(C14,0)+1))</f>
        <v/>
      </c>
      <c r="D15" s="123"/>
      <c r="E15" s="125" t="str">
        <f>IF($B14="","",IF($B14+1&gt;'Qredits maandlasten'!$C$4,"",F14+1))</f>
        <v/>
      </c>
      <c r="F15" s="125" t="str">
        <f>IF($B14="","",IF($B14+1&gt;'Qredits maandlasten'!$C$4,"",EOMONTH(E15,0)))</f>
        <v/>
      </c>
      <c r="G15" s="126" t="str">
        <f>IF($B14="","",IF($B14+1&gt;'Qredits maandlasten'!$C$4,"",(_xlfn.DAYS(F15,E15)+1)/DAY(F15)))</f>
        <v/>
      </c>
      <c r="H15" s="127"/>
      <c r="I15" s="128" t="str">
        <f>IF($B14="","",IF($B14+1&gt;'Qredits maandlasten'!$C$4,"",I14-J14))</f>
        <v/>
      </c>
      <c r="J15" s="128" t="str">
        <f>IF($B14="","",IF($B14+1&gt;'Qredits maandlasten'!$C$4,"",IF(B14&lt;'Qredits maandlasten'!$C$11-1,0,IF('Qredits maandlasten'!$C$10=dropdowns!$A$121,'Qredits maandlasten'!$J$3,IF('Qredits maandlasten'!$C$10=dropdowns!$A$120,IFERROR('Qredits maandlasten'!$J$3-K15,0),0)))))</f>
        <v/>
      </c>
      <c r="K15" s="128" t="str">
        <f>IF($B14="","",IF($B14+1&gt;'Qredits maandlasten'!$C$4,"",G15*I15*'Qredits maandlasten'!$C$8))</f>
        <v/>
      </c>
      <c r="L15" s="128" t="str">
        <f t="shared" si="2"/>
        <v/>
      </c>
      <c r="M15" s="128" t="str">
        <f t="shared" si="0"/>
        <v/>
      </c>
      <c r="N15" s="127"/>
      <c r="O15" s="129" t="str">
        <f>IF($B15="","",'Qredits maandlasten'!$C$8)</f>
        <v/>
      </c>
      <c r="P15" s="129" t="str">
        <f>IF($B15="","",'Qredits maandlasten'!$C$8*(POWER(1+'Qredits maandlasten'!$C$8,$B15-1+1)))</f>
        <v/>
      </c>
      <c r="Q15" s="129" t="str">
        <f t="shared" si="3"/>
        <v/>
      </c>
      <c r="R15" s="127"/>
      <c r="S15" s="128" t="str">
        <f t="shared" si="1"/>
        <v/>
      </c>
      <c r="T15" s="128" t="str">
        <f>IF(S15="","",J15/(POWER(1+'Qredits maandlasten'!$C$8,$B15-1+1)))</f>
        <v/>
      </c>
      <c r="U15" s="130" t="str">
        <f t="shared" si="4"/>
        <v/>
      </c>
      <c r="V15" s="128" t="str">
        <f>IF($B15="","",K15/(POWER(1+'Qredits maandlasten'!$C$8,$B15-1+1)))</f>
        <v/>
      </c>
      <c r="W15" s="127"/>
      <c r="X15" s="130"/>
      <c r="Y15" s="131"/>
    </row>
    <row r="16" spans="1:25" s="132" customFormat="1" x14ac:dyDescent="0.2">
      <c r="A16" s="123"/>
      <c r="B16" s="124" t="str">
        <f>IF($B15="","",IF($B15+1&gt;'Qredits maandlasten'!$C$4,"",Schema!B15+1))</f>
        <v/>
      </c>
      <c r="C16" s="125" t="str">
        <f>IF($B15="","",IF($B15+1&gt;'Qredits maandlasten'!$C$4,"",EOMONTH(C15,0)+1))</f>
        <v/>
      </c>
      <c r="D16" s="123"/>
      <c r="E16" s="125" t="str">
        <f>IF($B15="","",IF($B15+1&gt;'Qredits maandlasten'!$C$4,"",F15+1))</f>
        <v/>
      </c>
      <c r="F16" s="125" t="str">
        <f>IF($B15="","",IF($B15+1&gt;'Qredits maandlasten'!$C$4,"",EOMONTH(E16,0)))</f>
        <v/>
      </c>
      <c r="G16" s="126" t="str">
        <f>IF($B15="","",IF($B15+1&gt;'Qredits maandlasten'!$C$4,"",(_xlfn.DAYS(F16,E16)+1)/DAY(F16)))</f>
        <v/>
      </c>
      <c r="H16" s="127"/>
      <c r="I16" s="128" t="str">
        <f>IF($B15="","",IF($B15+1&gt;'Qredits maandlasten'!$C$4,"",I15-J15))</f>
        <v/>
      </c>
      <c r="J16" s="128" t="str">
        <f>IF($B15="","",IF($B15+1&gt;'Qredits maandlasten'!$C$4,"",IF(B15&lt;'Qredits maandlasten'!$C$11-1,0,IF('Qredits maandlasten'!$C$10=dropdowns!$A$121,'Qredits maandlasten'!$J$3,IF('Qredits maandlasten'!$C$10=dropdowns!$A$120,IFERROR('Qredits maandlasten'!$J$3-K16,0),0)))))</f>
        <v/>
      </c>
      <c r="K16" s="128" t="str">
        <f>IF($B15="","",IF($B15+1&gt;'Qredits maandlasten'!$C$4,"",G16*I16*'Qredits maandlasten'!$C$8))</f>
        <v/>
      </c>
      <c r="L16" s="128" t="str">
        <f t="shared" si="2"/>
        <v/>
      </c>
      <c r="M16" s="128" t="str">
        <f t="shared" si="0"/>
        <v/>
      </c>
      <c r="N16" s="127"/>
      <c r="O16" s="129" t="str">
        <f>IF($B16="","",'Qredits maandlasten'!$C$8)</f>
        <v/>
      </c>
      <c r="P16" s="129" t="str">
        <f>IF($B16="","",'Qredits maandlasten'!$C$8*(POWER(1+'Qredits maandlasten'!$C$8,$B16-1+1)))</f>
        <v/>
      </c>
      <c r="Q16" s="129" t="str">
        <f t="shared" si="3"/>
        <v/>
      </c>
      <c r="R16" s="127"/>
      <c r="S16" s="128" t="str">
        <f t="shared" si="1"/>
        <v/>
      </c>
      <c r="T16" s="128" t="str">
        <f>IF(S16="","",J16/(POWER(1+'Qredits maandlasten'!$C$8,$B16-1+1)))</f>
        <v/>
      </c>
      <c r="U16" s="130" t="str">
        <f t="shared" si="4"/>
        <v/>
      </c>
      <c r="V16" s="128" t="str">
        <f>IF($B16="","",K16/(POWER(1+'Qredits maandlasten'!$C$8,$B16-1+1)))</f>
        <v/>
      </c>
      <c r="W16" s="127"/>
      <c r="X16" s="130"/>
      <c r="Y16" s="131"/>
    </row>
    <row r="17" spans="1:28" s="132" customFormat="1" x14ac:dyDescent="0.2">
      <c r="A17" s="123"/>
      <c r="B17" s="124" t="str">
        <f>IF($B16="","",IF($B16+1&gt;'Qredits maandlasten'!$C$4,"",Schema!B16+1))</f>
        <v/>
      </c>
      <c r="C17" s="125" t="str">
        <f>IF($B16="","",IF($B16+1&gt;'Qredits maandlasten'!$C$4,"",EOMONTH(C16,0)+1))</f>
        <v/>
      </c>
      <c r="D17" s="123"/>
      <c r="E17" s="125" t="str">
        <f>IF($B16="","",IF($B16+1&gt;'Qredits maandlasten'!$C$4,"",F16+1))</f>
        <v/>
      </c>
      <c r="F17" s="125" t="str">
        <f>IF($B16="","",IF($B16+1&gt;'Qredits maandlasten'!$C$4,"",EOMONTH(E17,0)))</f>
        <v/>
      </c>
      <c r="G17" s="126" t="str">
        <f>IF($B16="","",IF($B16+1&gt;'Qredits maandlasten'!$C$4,"",(_xlfn.DAYS(F17,E17)+1)/DAY(F17)))</f>
        <v/>
      </c>
      <c r="H17" s="127"/>
      <c r="I17" s="128" t="str">
        <f>IF($B16="","",IF($B16+1&gt;'Qredits maandlasten'!$C$4,"",I16-J16))</f>
        <v/>
      </c>
      <c r="J17" s="128" t="str">
        <f>IF($B16="","",IF($B16+1&gt;'Qredits maandlasten'!$C$4,"",IF(B16&lt;'Qredits maandlasten'!$C$11-1,0,IF('Qredits maandlasten'!$C$10=dropdowns!$A$121,'Qredits maandlasten'!$J$3,IF('Qredits maandlasten'!$C$10=dropdowns!$A$120,IFERROR('Qredits maandlasten'!$J$3-K17,0),0)))))</f>
        <v/>
      </c>
      <c r="K17" s="128" t="str">
        <f>IF($B16="","",IF($B16+1&gt;'Qredits maandlasten'!$C$4,"",G17*I17*'Qredits maandlasten'!$C$8))</f>
        <v/>
      </c>
      <c r="L17" s="128" t="str">
        <f t="shared" si="2"/>
        <v/>
      </c>
      <c r="M17" s="128" t="str">
        <f t="shared" si="0"/>
        <v/>
      </c>
      <c r="N17" s="127"/>
      <c r="O17" s="129" t="str">
        <f>IF($B17="","",'Qredits maandlasten'!$C$8)</f>
        <v/>
      </c>
      <c r="P17" s="129" t="str">
        <f>IF($B17="","",'Qredits maandlasten'!$C$8*(POWER(1+'Qredits maandlasten'!$C$8,$B17-1+1)))</f>
        <v/>
      </c>
      <c r="Q17" s="129" t="str">
        <f t="shared" si="3"/>
        <v/>
      </c>
      <c r="R17" s="127"/>
      <c r="S17" s="128" t="str">
        <f t="shared" si="1"/>
        <v/>
      </c>
      <c r="T17" s="128" t="str">
        <f>IF(S17="","",J17/(POWER(1+'Qredits maandlasten'!$C$8,$B17-1+1)))</f>
        <v/>
      </c>
      <c r="U17" s="130" t="str">
        <f t="shared" si="4"/>
        <v/>
      </c>
      <c r="V17" s="128" t="str">
        <f>IF($B17="","",K17/(POWER(1+'Qredits maandlasten'!$C$8,$B17-1+1)))</f>
        <v/>
      </c>
      <c r="W17" s="127"/>
      <c r="X17" s="130"/>
      <c r="Y17" s="131"/>
    </row>
    <row r="18" spans="1:28" s="132" customFormat="1" x14ac:dyDescent="0.2">
      <c r="A18" s="123"/>
      <c r="B18" s="124" t="str">
        <f>IF($B17="","",IF($B17+1&gt;'Qredits maandlasten'!$C$4,"",Schema!B17+1))</f>
        <v/>
      </c>
      <c r="C18" s="125" t="str">
        <f>IF($B17="","",IF($B17+1&gt;'Qredits maandlasten'!$C$4,"",EOMONTH(C17,0)+1))</f>
        <v/>
      </c>
      <c r="D18" s="123"/>
      <c r="E18" s="125" t="str">
        <f>IF($B17="","",IF($B17+1&gt;'Qredits maandlasten'!$C$4,"",F17+1))</f>
        <v/>
      </c>
      <c r="F18" s="125" t="str">
        <f>IF($B17="","",IF($B17+1&gt;'Qredits maandlasten'!$C$4,"",EOMONTH(E18,0)))</f>
        <v/>
      </c>
      <c r="G18" s="126" t="str">
        <f>IF($B17="","",IF($B17+1&gt;'Qredits maandlasten'!$C$4,"",(_xlfn.DAYS(F18,E18)+1)/DAY(F18)))</f>
        <v/>
      </c>
      <c r="H18" s="127"/>
      <c r="I18" s="128" t="str">
        <f>IF($B17="","",IF($B17+1&gt;'Qredits maandlasten'!$C$4,"",I17-J17))</f>
        <v/>
      </c>
      <c r="J18" s="128" t="str">
        <f>IF($B17="","",IF($B17+1&gt;'Qredits maandlasten'!$C$4,"",IF(B17&lt;'Qredits maandlasten'!$C$11-1,0,IF('Qredits maandlasten'!$C$10=dropdowns!$A$121,'Qredits maandlasten'!$J$3,IF('Qredits maandlasten'!$C$10=dropdowns!$A$120,IFERROR('Qredits maandlasten'!$J$3-K18,0),0)))))</f>
        <v/>
      </c>
      <c r="K18" s="128" t="str">
        <f>IF($B17="","",IF($B17+1&gt;'Qredits maandlasten'!$C$4,"",G18*I18*'Qredits maandlasten'!$C$8))</f>
        <v/>
      </c>
      <c r="L18" s="128" t="str">
        <f t="shared" si="2"/>
        <v/>
      </c>
      <c r="M18" s="128" t="str">
        <f t="shared" si="0"/>
        <v/>
      </c>
      <c r="N18" s="127"/>
      <c r="O18" s="129" t="str">
        <f>IF($B18="","",'Qredits maandlasten'!$C$8)</f>
        <v/>
      </c>
      <c r="P18" s="129" t="str">
        <f>IF($B18="","",'Qredits maandlasten'!$C$8*(POWER(1+'Qredits maandlasten'!$C$8,$B18-1+1)))</f>
        <v/>
      </c>
      <c r="Q18" s="129" t="str">
        <f t="shared" si="3"/>
        <v/>
      </c>
      <c r="R18" s="127"/>
      <c r="S18" s="128" t="str">
        <f t="shared" si="1"/>
        <v/>
      </c>
      <c r="T18" s="128" t="str">
        <f>IF(S18="","",J18/(POWER(1+'Qredits maandlasten'!$C$8,$B18-1+1)))</f>
        <v/>
      </c>
      <c r="U18" s="130" t="str">
        <f t="shared" si="4"/>
        <v/>
      </c>
      <c r="V18" s="128" t="str">
        <f>IF($B18="","",K18/(POWER(1+'Qredits maandlasten'!$C$8,$B18-1+1)))</f>
        <v/>
      </c>
      <c r="W18" s="127"/>
      <c r="X18" s="130"/>
      <c r="Y18" s="131"/>
    </row>
    <row r="19" spans="1:28" s="132" customFormat="1" x14ac:dyDescent="0.2">
      <c r="A19" s="123"/>
      <c r="B19" s="124" t="str">
        <f>IF($B18="","",IF($B18+1&gt;'Qredits maandlasten'!$C$4,"",Schema!B18+1))</f>
        <v/>
      </c>
      <c r="C19" s="125" t="str">
        <f>IF($B18="","",IF($B18+1&gt;'Qredits maandlasten'!$C$4,"",EOMONTH(C18,0)+1))</f>
        <v/>
      </c>
      <c r="D19" s="123"/>
      <c r="E19" s="125" t="str">
        <f>IF($B18="","",IF($B18+1&gt;'Qredits maandlasten'!$C$4,"",F18+1))</f>
        <v/>
      </c>
      <c r="F19" s="125" t="str">
        <f>IF($B18="","",IF($B18+1&gt;'Qredits maandlasten'!$C$4,"",EOMONTH(E19,0)))</f>
        <v/>
      </c>
      <c r="G19" s="126" t="str">
        <f>IF($B18="","",IF($B18+1&gt;'Qredits maandlasten'!$C$4,"",(_xlfn.DAYS(F19,E19)+1)/DAY(F19)))</f>
        <v/>
      </c>
      <c r="H19" s="127"/>
      <c r="I19" s="128" t="str">
        <f>IF($B18="","",IF($B18+1&gt;'Qredits maandlasten'!$C$4,"",I18-J18))</f>
        <v/>
      </c>
      <c r="J19" s="128" t="str">
        <f>IF($B18="","",IF($B18+1&gt;'Qredits maandlasten'!$C$4,"",IF(B18&lt;'Qredits maandlasten'!$C$11-1,0,IF('Qredits maandlasten'!$C$10=dropdowns!$A$121,'Qredits maandlasten'!$J$3,IF('Qredits maandlasten'!$C$10=dropdowns!$A$120,IFERROR('Qredits maandlasten'!$J$3-K19,0),0)))))</f>
        <v/>
      </c>
      <c r="K19" s="128" t="str">
        <f>IF($B18="","",IF($B18+1&gt;'Qredits maandlasten'!$C$4,"",G19*I19*'Qredits maandlasten'!$C$8))</f>
        <v/>
      </c>
      <c r="L19" s="128" t="str">
        <f t="shared" si="2"/>
        <v/>
      </c>
      <c r="M19" s="128" t="str">
        <f t="shared" si="0"/>
        <v/>
      </c>
      <c r="N19" s="127"/>
      <c r="O19" s="129" t="str">
        <f>IF($B19="","",'Qredits maandlasten'!$C$8)</f>
        <v/>
      </c>
      <c r="P19" s="129" t="str">
        <f>IF($B19="","",'Qredits maandlasten'!$C$8*(POWER(1+'Qredits maandlasten'!$C$8,$B19-1+1)))</f>
        <v/>
      </c>
      <c r="Q19" s="129" t="str">
        <f t="shared" si="3"/>
        <v/>
      </c>
      <c r="R19" s="127"/>
      <c r="S19" s="128" t="str">
        <f t="shared" si="1"/>
        <v/>
      </c>
      <c r="T19" s="128" t="str">
        <f>IF(S19="","",J19/(POWER(1+'Qredits maandlasten'!$C$8,$B19-1+1)))</f>
        <v/>
      </c>
      <c r="U19" s="130" t="str">
        <f t="shared" si="4"/>
        <v/>
      </c>
      <c r="V19" s="128" t="str">
        <f>IF($B19="","",K19/(POWER(1+'Qredits maandlasten'!$C$8,$B19-1+1)))</f>
        <v/>
      </c>
      <c r="W19" s="127"/>
      <c r="X19" s="130"/>
      <c r="Y19" s="131"/>
    </row>
    <row r="20" spans="1:28" s="132" customFormat="1" x14ac:dyDescent="0.2">
      <c r="A20" s="123"/>
      <c r="B20" s="124" t="str">
        <f>IF($B19="","",IF($B19+1&gt;'Qredits maandlasten'!$C$4,"",Schema!B19+1))</f>
        <v/>
      </c>
      <c r="C20" s="125" t="str">
        <f>IF($B19="","",IF($B19+1&gt;'Qredits maandlasten'!$C$4,"",EOMONTH(C19,0)+1))</f>
        <v/>
      </c>
      <c r="D20" s="123"/>
      <c r="E20" s="125" t="str">
        <f>IF($B19="","",IF($B19+1&gt;'Qredits maandlasten'!$C$4,"",F19+1))</f>
        <v/>
      </c>
      <c r="F20" s="125" t="str">
        <f>IF($B19="","",IF($B19+1&gt;'Qredits maandlasten'!$C$4,"",EOMONTH(E20,0)))</f>
        <v/>
      </c>
      <c r="G20" s="126" t="str">
        <f>IF($B19="","",IF($B19+1&gt;'Qredits maandlasten'!$C$4,"",(_xlfn.DAYS(F20,E20)+1)/DAY(F20)))</f>
        <v/>
      </c>
      <c r="H20" s="127"/>
      <c r="I20" s="128" t="str">
        <f>IF($B19="","",IF($B19+1&gt;'Qredits maandlasten'!$C$4,"",I19-J19))</f>
        <v/>
      </c>
      <c r="J20" s="128" t="str">
        <f>IF($B19="","",IF($B19+1&gt;'Qredits maandlasten'!$C$4,"",IF(B19&lt;'Qredits maandlasten'!$C$11-1,0,IF('Qredits maandlasten'!$C$10=dropdowns!$A$121,'Qredits maandlasten'!$J$3,IF('Qredits maandlasten'!$C$10=dropdowns!$A$120,IFERROR('Qredits maandlasten'!$J$3-K20,0),0)))))</f>
        <v/>
      </c>
      <c r="K20" s="128" t="str">
        <f>IF($B19="","",IF($B19+1&gt;'Qredits maandlasten'!$C$4,"",G20*I20*'Qredits maandlasten'!$C$8))</f>
        <v/>
      </c>
      <c r="L20" s="128" t="str">
        <f t="shared" si="2"/>
        <v/>
      </c>
      <c r="M20" s="128" t="str">
        <f t="shared" si="0"/>
        <v/>
      </c>
      <c r="N20" s="127"/>
      <c r="O20" s="129" t="str">
        <f>IF($B20="","",'Qredits maandlasten'!$C$8)</f>
        <v/>
      </c>
      <c r="P20" s="129" t="str">
        <f>IF($B20="","",'Qredits maandlasten'!$C$8*(POWER(1+'Qredits maandlasten'!$C$8,$B20-1+1)))</f>
        <v/>
      </c>
      <c r="Q20" s="129" t="str">
        <f t="shared" si="3"/>
        <v/>
      </c>
      <c r="R20" s="127"/>
      <c r="S20" s="128" t="str">
        <f t="shared" si="1"/>
        <v/>
      </c>
      <c r="T20" s="128" t="str">
        <f>IF(S20="","",J20/(POWER(1+'Qredits maandlasten'!$C$8,$B20-1+1)))</f>
        <v/>
      </c>
      <c r="U20" s="130" t="str">
        <f t="shared" si="4"/>
        <v/>
      </c>
      <c r="V20" s="128" t="str">
        <f>IF($B20="","",K20/(POWER(1+'Qredits maandlasten'!$C$8,$B20-1+1)))</f>
        <v/>
      </c>
      <c r="W20" s="127"/>
      <c r="X20" s="130"/>
      <c r="Y20" s="131"/>
    </row>
    <row r="21" spans="1:28" s="132" customFormat="1" x14ac:dyDescent="0.2">
      <c r="A21" s="123"/>
      <c r="B21" s="124" t="str">
        <f>IF($B20="","",IF($B20+1&gt;'Qredits maandlasten'!$C$4,"",Schema!B20+1))</f>
        <v/>
      </c>
      <c r="C21" s="125" t="str">
        <f>IF($B20="","",IF($B20+1&gt;'Qredits maandlasten'!$C$4,"",EOMONTH(C20,0)+1))</f>
        <v/>
      </c>
      <c r="D21" s="123"/>
      <c r="E21" s="125" t="str">
        <f>IF($B20="","",IF($B20+1&gt;'Qredits maandlasten'!$C$4,"",F20+1))</f>
        <v/>
      </c>
      <c r="F21" s="125" t="str">
        <f>IF($B20="","",IF($B20+1&gt;'Qredits maandlasten'!$C$4,"",EOMONTH(E21,0)))</f>
        <v/>
      </c>
      <c r="G21" s="126" t="str">
        <f>IF($B20="","",IF($B20+1&gt;'Qredits maandlasten'!$C$4,"",(_xlfn.DAYS(F21,E21)+1)/DAY(F21)))</f>
        <v/>
      </c>
      <c r="H21" s="127"/>
      <c r="I21" s="128" t="str">
        <f>IF($B20="","",IF($B20+1&gt;'Qredits maandlasten'!$C$4,"",I20-J20))</f>
        <v/>
      </c>
      <c r="J21" s="128" t="str">
        <f>IF($B20="","",IF($B20+1&gt;'Qredits maandlasten'!$C$4,"",IF(B20&lt;'Qredits maandlasten'!$C$11-1,0,IF('Qredits maandlasten'!$C$10=dropdowns!$A$121,'Qredits maandlasten'!$J$3,IF('Qredits maandlasten'!$C$10=dropdowns!$A$120,IFERROR('Qredits maandlasten'!$J$3-K21,0),0)))))</f>
        <v/>
      </c>
      <c r="K21" s="128" t="str">
        <f>IF($B20="","",IF($B20+1&gt;'Qredits maandlasten'!$C$4,"",G21*I21*'Qredits maandlasten'!$C$8))</f>
        <v/>
      </c>
      <c r="L21" s="128" t="str">
        <f t="shared" si="2"/>
        <v/>
      </c>
      <c r="M21" s="128" t="str">
        <f t="shared" si="0"/>
        <v/>
      </c>
      <c r="N21" s="127"/>
      <c r="O21" s="129" t="str">
        <f>IF($B21="","",'Qredits maandlasten'!$C$8)</f>
        <v/>
      </c>
      <c r="P21" s="129" t="str">
        <f>IF($B21="","",'Qredits maandlasten'!$C$8*(POWER(1+'Qredits maandlasten'!$C$8,$B21-1+1)))</f>
        <v/>
      </c>
      <c r="Q21" s="129" t="str">
        <f t="shared" si="3"/>
        <v/>
      </c>
      <c r="R21" s="127"/>
      <c r="S21" s="128" t="str">
        <f t="shared" si="1"/>
        <v/>
      </c>
      <c r="T21" s="128" t="str">
        <f>IF(S21="","",J21/(POWER(1+'Qredits maandlasten'!$C$8,$B21-1+1)))</f>
        <v/>
      </c>
      <c r="U21" s="130" t="str">
        <f t="shared" si="4"/>
        <v/>
      </c>
      <c r="V21" s="128" t="str">
        <f>IF($B21="","",K21/(POWER(1+'Qredits maandlasten'!$C$8,$B21-1+1)))</f>
        <v/>
      </c>
      <c r="W21" s="127"/>
      <c r="X21" s="130"/>
      <c r="Y21" s="131"/>
    </row>
    <row r="22" spans="1:28" s="132" customFormat="1" x14ac:dyDescent="0.2">
      <c r="A22" s="123"/>
      <c r="B22" s="124" t="str">
        <f>IF($B21="","",IF($B21+1&gt;'Qredits maandlasten'!$C$4,"",Schema!B21+1))</f>
        <v/>
      </c>
      <c r="C22" s="125" t="str">
        <f>IF($B21="","",IF($B21+1&gt;'Qredits maandlasten'!$C$4,"",EOMONTH(C21,0)+1))</f>
        <v/>
      </c>
      <c r="D22" s="123"/>
      <c r="E22" s="125" t="str">
        <f>IF($B21="","",IF($B21+1&gt;'Qredits maandlasten'!$C$4,"",F21+1))</f>
        <v/>
      </c>
      <c r="F22" s="125" t="str">
        <f>IF($B21="","",IF($B21+1&gt;'Qredits maandlasten'!$C$4,"",EOMONTH(E22,0)))</f>
        <v/>
      </c>
      <c r="G22" s="126" t="str">
        <f>IF($B21="","",IF($B21+1&gt;'Qredits maandlasten'!$C$4,"",(_xlfn.DAYS(F22,E22)+1)/DAY(F22)))</f>
        <v/>
      </c>
      <c r="H22" s="127"/>
      <c r="I22" s="128" t="str">
        <f>IF($B21="","",IF($B21+1&gt;'Qredits maandlasten'!$C$4,"",I21-J21))</f>
        <v/>
      </c>
      <c r="J22" s="128" t="str">
        <f>IF($B21="","",IF($B21+1&gt;'Qredits maandlasten'!$C$4,"",IF(B21&lt;'Qredits maandlasten'!$C$11-1,0,IF('Qredits maandlasten'!$C$10=dropdowns!$A$121,'Qredits maandlasten'!$J$3,IF('Qredits maandlasten'!$C$10=dropdowns!$A$120,IFERROR('Qredits maandlasten'!$J$3-K22,0),0)))))</f>
        <v/>
      </c>
      <c r="K22" s="128" t="str">
        <f>IF($B21="","",IF($B21+1&gt;'Qredits maandlasten'!$C$4,"",G22*I22*'Qredits maandlasten'!$C$8))</f>
        <v/>
      </c>
      <c r="L22" s="128" t="str">
        <f t="shared" si="2"/>
        <v/>
      </c>
      <c r="M22" s="128" t="str">
        <f t="shared" si="0"/>
        <v/>
      </c>
      <c r="N22" s="127"/>
      <c r="O22" s="129" t="str">
        <f>IF($B22="","",'Qredits maandlasten'!$C$8)</f>
        <v/>
      </c>
      <c r="P22" s="129" t="str">
        <f>IF($B22="","",'Qredits maandlasten'!$C$8*(POWER(1+'Qredits maandlasten'!$C$8,$B22-1+1)))</f>
        <v/>
      </c>
      <c r="Q22" s="129" t="str">
        <f t="shared" si="3"/>
        <v/>
      </c>
      <c r="R22" s="127"/>
      <c r="S22" s="128" t="str">
        <f t="shared" si="1"/>
        <v/>
      </c>
      <c r="T22" s="128" t="str">
        <f>IF(S22="","",J22/(POWER(1+'Qredits maandlasten'!$C$8,$B22-1+1)))</f>
        <v/>
      </c>
      <c r="U22" s="130" t="str">
        <f t="shared" si="4"/>
        <v/>
      </c>
      <c r="V22" s="128" t="str">
        <f>IF($B22="","",K22/(POWER(1+'Qredits maandlasten'!$C$8,$B22-1+1)))</f>
        <v/>
      </c>
      <c r="W22" s="127"/>
      <c r="X22" s="130"/>
      <c r="Y22" s="133"/>
    </row>
    <row r="23" spans="1:28" s="132" customFormat="1" x14ac:dyDescent="0.2">
      <c r="A23" s="123"/>
      <c r="B23" s="124" t="str">
        <f>IF($B22="","",IF($B22+1&gt;'Qredits maandlasten'!$C$4,"",Schema!B22+1))</f>
        <v/>
      </c>
      <c r="C23" s="125" t="str">
        <f>IF($B22="","",IF($B22+1&gt;'Qredits maandlasten'!$C$4,"",EOMONTH(C22,0)+1))</f>
        <v/>
      </c>
      <c r="D23" s="123"/>
      <c r="E23" s="125" t="str">
        <f>IF($B22="","",IF($B22+1&gt;'Qredits maandlasten'!$C$4,"",F22+1))</f>
        <v/>
      </c>
      <c r="F23" s="125" t="str">
        <f>IF($B22="","",IF($B22+1&gt;'Qredits maandlasten'!$C$4,"",EOMONTH(E23,0)))</f>
        <v/>
      </c>
      <c r="G23" s="126" t="str">
        <f>IF($B22="","",IF($B22+1&gt;'Qredits maandlasten'!$C$4,"",(_xlfn.DAYS(F23,E23)+1)/DAY(F23)))</f>
        <v/>
      </c>
      <c r="H23" s="127"/>
      <c r="I23" s="128" t="str">
        <f>IF($B22="","",IF($B22+1&gt;'Qredits maandlasten'!$C$4,"",I22-J22))</f>
        <v/>
      </c>
      <c r="J23" s="128" t="str">
        <f>IF($B22="","",IF($B22+1&gt;'Qredits maandlasten'!$C$4,"",IF(B22&lt;'Qredits maandlasten'!$C$11-1,0,IF('Qredits maandlasten'!$C$10=dropdowns!$A$121,'Qredits maandlasten'!$J$3,IF('Qredits maandlasten'!$C$10=dropdowns!$A$120,IFERROR('Qredits maandlasten'!$J$3-K23,0),0)))))</f>
        <v/>
      </c>
      <c r="K23" s="128" t="str">
        <f>IF($B22="","",IF($B22+1&gt;'Qredits maandlasten'!$C$4,"",G23*I23*'Qredits maandlasten'!$C$8))</f>
        <v/>
      </c>
      <c r="L23" s="128" t="str">
        <f t="shared" si="2"/>
        <v/>
      </c>
      <c r="M23" s="128" t="str">
        <f t="shared" si="0"/>
        <v/>
      </c>
      <c r="N23" s="127"/>
      <c r="O23" s="129" t="str">
        <f>IF($B23="","",'Qredits maandlasten'!$C$8)</f>
        <v/>
      </c>
      <c r="P23" s="129" t="str">
        <f>IF($B23="","",'Qredits maandlasten'!$C$8*(POWER(1+'Qredits maandlasten'!$C$8,$B23-1+1)))</f>
        <v/>
      </c>
      <c r="Q23" s="129" t="str">
        <f t="shared" si="3"/>
        <v/>
      </c>
      <c r="R23" s="127"/>
      <c r="S23" s="128" t="str">
        <f t="shared" si="1"/>
        <v/>
      </c>
      <c r="T23" s="128" t="str">
        <f>IF(S23="","",J23/(POWER(1+'Qredits maandlasten'!$C$8,$B23-1+1)))</f>
        <v/>
      </c>
      <c r="U23" s="130" t="str">
        <f t="shared" si="4"/>
        <v/>
      </c>
      <c r="V23" s="128" t="str">
        <f>IF($B23="","",K23/(POWER(1+'Qredits maandlasten'!$C$8,$B23-1+1)))</f>
        <v/>
      </c>
      <c r="W23" s="127"/>
      <c r="X23" s="130"/>
      <c r="Y23" s="131"/>
    </row>
    <row r="24" spans="1:28" s="132" customFormat="1" x14ac:dyDescent="0.2">
      <c r="A24" s="123"/>
      <c r="B24" s="124" t="str">
        <f>IF($B23="","",IF($B23+1&gt;'Qredits maandlasten'!$C$4,"",Schema!B23+1))</f>
        <v/>
      </c>
      <c r="C24" s="125" t="str">
        <f>IF($B23="","",IF($B23+1&gt;'Qredits maandlasten'!$C$4,"",EOMONTH(C23,0)+1))</f>
        <v/>
      </c>
      <c r="D24" s="123"/>
      <c r="E24" s="125" t="str">
        <f>IF($B23="","",IF($B23+1&gt;'Qredits maandlasten'!$C$4,"",F23+1))</f>
        <v/>
      </c>
      <c r="F24" s="125" t="str">
        <f>IF($B23="","",IF($B23+1&gt;'Qredits maandlasten'!$C$4,"",EOMONTH(E24,0)))</f>
        <v/>
      </c>
      <c r="G24" s="126" t="str">
        <f>IF($B23="","",IF($B23+1&gt;'Qredits maandlasten'!$C$4,"",(_xlfn.DAYS(F24,E24)+1)/DAY(F24)))</f>
        <v/>
      </c>
      <c r="H24" s="127"/>
      <c r="I24" s="128" t="str">
        <f>IF($B23="","",IF($B23+1&gt;'Qredits maandlasten'!$C$4,"",I23-J23))</f>
        <v/>
      </c>
      <c r="J24" s="128" t="str">
        <f>IF($B23="","",IF($B23+1&gt;'Qredits maandlasten'!$C$4,"",IF(B23&lt;'Qredits maandlasten'!$C$11-1,0,IF('Qredits maandlasten'!$C$10=dropdowns!$A$121,'Qredits maandlasten'!$J$3,IF('Qredits maandlasten'!$C$10=dropdowns!$A$120,IFERROR('Qredits maandlasten'!$J$3-K24,0),0)))))</f>
        <v/>
      </c>
      <c r="K24" s="128" t="str">
        <f>IF($B23="","",IF($B23+1&gt;'Qredits maandlasten'!$C$4,"",G24*I24*'Qredits maandlasten'!$C$8))</f>
        <v/>
      </c>
      <c r="L24" s="128" t="str">
        <f t="shared" si="2"/>
        <v/>
      </c>
      <c r="M24" s="128" t="str">
        <f t="shared" si="0"/>
        <v/>
      </c>
      <c r="N24" s="127"/>
      <c r="O24" s="129" t="str">
        <f>IF($B24="","",'Qredits maandlasten'!$C$8)</f>
        <v/>
      </c>
      <c r="P24" s="129" t="str">
        <f>IF($B24="","",'Qredits maandlasten'!$C$8*(POWER(1+'Qredits maandlasten'!$C$8,$B24-1+1)))</f>
        <v/>
      </c>
      <c r="Q24" s="129" t="str">
        <f t="shared" si="3"/>
        <v/>
      </c>
      <c r="R24" s="127"/>
      <c r="S24" s="128" t="str">
        <f t="shared" si="1"/>
        <v/>
      </c>
      <c r="T24" s="128" t="str">
        <f>IF(S24="","",J24/(POWER(1+'Qredits maandlasten'!$C$8,$B24-1+1)))</f>
        <v/>
      </c>
      <c r="U24" s="130" t="str">
        <f t="shared" si="4"/>
        <v/>
      </c>
      <c r="V24" s="128" t="str">
        <f>IF($B24="","",K24/(POWER(1+'Qredits maandlasten'!$C$8,$B24-1+1)))</f>
        <v/>
      </c>
      <c r="W24" s="127"/>
      <c r="X24" s="130"/>
      <c r="Y24" s="133"/>
    </row>
    <row r="25" spans="1:28" s="132" customFormat="1" x14ac:dyDescent="0.2">
      <c r="A25" s="123"/>
      <c r="B25" s="124" t="str">
        <f>IF($B24="","",IF($B24+1&gt;'Qredits maandlasten'!$C$4,"",Schema!B24+1))</f>
        <v/>
      </c>
      <c r="C25" s="125" t="str">
        <f>IF($B24="","",IF($B24+1&gt;'Qredits maandlasten'!$C$4,"",EOMONTH(C24,0)+1))</f>
        <v/>
      </c>
      <c r="D25" s="123"/>
      <c r="E25" s="125" t="str">
        <f>IF($B24="","",IF($B24+1&gt;'Qredits maandlasten'!$C$4,"",F24+1))</f>
        <v/>
      </c>
      <c r="F25" s="125" t="str">
        <f>IF($B24="","",IF($B24+1&gt;'Qredits maandlasten'!$C$4,"",EOMONTH(E25,0)))</f>
        <v/>
      </c>
      <c r="G25" s="126" t="str">
        <f>IF($B24="","",IF($B24+1&gt;'Qredits maandlasten'!$C$4,"",(_xlfn.DAYS(F25,E25)+1)/DAY(F25)))</f>
        <v/>
      </c>
      <c r="H25" s="127"/>
      <c r="I25" s="128" t="str">
        <f>IF($B24="","",IF($B24+1&gt;'Qredits maandlasten'!$C$4,"",I24-J24))</f>
        <v/>
      </c>
      <c r="J25" s="128" t="str">
        <f>IF($B24="","",IF($B24+1&gt;'Qredits maandlasten'!$C$4,"",IF(B24&lt;'Qredits maandlasten'!$C$11-1,0,IF('Qredits maandlasten'!$C$10=dropdowns!$A$121,'Qredits maandlasten'!$J$3,IF('Qredits maandlasten'!$C$10=dropdowns!$A$120,IFERROR('Qredits maandlasten'!$J$3-K25,0),0)))))</f>
        <v/>
      </c>
      <c r="K25" s="128" t="str">
        <f>IF($B24="","",IF($B24+1&gt;'Qredits maandlasten'!$C$4,"",G25*I25*'Qredits maandlasten'!$C$8))</f>
        <v/>
      </c>
      <c r="L25" s="128" t="str">
        <f t="shared" si="2"/>
        <v/>
      </c>
      <c r="M25" s="128" t="str">
        <f t="shared" si="0"/>
        <v/>
      </c>
      <c r="N25" s="127"/>
      <c r="O25" s="129" t="str">
        <f>IF($B25="","",'Qredits maandlasten'!$C$8)</f>
        <v/>
      </c>
      <c r="P25" s="129" t="str">
        <f>IF($B25="","",'Qredits maandlasten'!$C$8*(POWER(1+'Qredits maandlasten'!$C$8,$B25-1+1)))</f>
        <v/>
      </c>
      <c r="Q25" s="129" t="str">
        <f t="shared" si="3"/>
        <v/>
      </c>
      <c r="R25" s="127"/>
      <c r="S25" s="128" t="str">
        <f t="shared" si="1"/>
        <v/>
      </c>
      <c r="T25" s="128" t="str">
        <f>IF(S25="","",J25/(POWER(1+'Qredits maandlasten'!$C$8,$B25-1+1)))</f>
        <v/>
      </c>
      <c r="U25" s="130" t="str">
        <f t="shared" si="4"/>
        <v/>
      </c>
      <c r="V25" s="128" t="str">
        <f>IF($B25="","",K25/(POWER(1+'Qredits maandlasten'!$C$8,$B25-1+1)))</f>
        <v/>
      </c>
      <c r="W25" s="127"/>
      <c r="X25" s="130"/>
      <c r="Y25" s="131"/>
    </row>
    <row r="26" spans="1:28" s="132" customFormat="1" x14ac:dyDescent="0.2">
      <c r="A26" s="123"/>
      <c r="B26" s="124" t="str">
        <f>IF($B25="","",IF($B25+1&gt;'Qredits maandlasten'!$C$4,"",Schema!B25+1))</f>
        <v/>
      </c>
      <c r="C26" s="125" t="str">
        <f>IF($B25="","",IF($B25+1&gt;'Qredits maandlasten'!$C$4,"",EOMONTH(C25,0)+1))</f>
        <v/>
      </c>
      <c r="D26" s="123"/>
      <c r="E26" s="125" t="str">
        <f>IF($B25="","",IF($B25+1&gt;'Qredits maandlasten'!$C$4,"",F25+1))</f>
        <v/>
      </c>
      <c r="F26" s="125" t="str">
        <f>IF($B25="","",IF($B25+1&gt;'Qredits maandlasten'!$C$4,"",EOMONTH(E26,0)))</f>
        <v/>
      </c>
      <c r="G26" s="126" t="str">
        <f>IF($B25="","",IF($B25+1&gt;'Qredits maandlasten'!$C$4,"",(_xlfn.DAYS(F26,E26)+1)/DAY(F26)))</f>
        <v/>
      </c>
      <c r="H26" s="127"/>
      <c r="I26" s="128" t="str">
        <f>IF($B25="","",IF($B25+1&gt;'Qredits maandlasten'!$C$4,"",I25-J25))</f>
        <v/>
      </c>
      <c r="J26" s="128" t="str">
        <f>IF($B25="","",IF($B25+1&gt;'Qredits maandlasten'!$C$4,"",IF(B25&lt;'Qredits maandlasten'!$C$11-1,0,IF('Qredits maandlasten'!$C$10=dropdowns!$A$121,'Qredits maandlasten'!$J$3,IF('Qredits maandlasten'!$C$10=dropdowns!$A$120,IFERROR('Qredits maandlasten'!$J$3-K26,0),0)))))</f>
        <v/>
      </c>
      <c r="K26" s="128" t="str">
        <f>IF($B25="","",IF($B25+1&gt;'Qredits maandlasten'!$C$4,"",G26*I26*'Qredits maandlasten'!$C$8))</f>
        <v/>
      </c>
      <c r="L26" s="128" t="str">
        <f t="shared" si="2"/>
        <v/>
      </c>
      <c r="M26" s="128" t="str">
        <f t="shared" si="0"/>
        <v/>
      </c>
      <c r="N26" s="127"/>
      <c r="O26" s="129" t="str">
        <f>IF($B26="","",'Qredits maandlasten'!$C$8)</f>
        <v/>
      </c>
      <c r="P26" s="129" t="str">
        <f>IF($B26="","",'Qredits maandlasten'!$C$8*(POWER(1+'Qredits maandlasten'!$C$8,$B26-1+1)))</f>
        <v/>
      </c>
      <c r="Q26" s="129" t="str">
        <f t="shared" si="3"/>
        <v/>
      </c>
      <c r="R26" s="127"/>
      <c r="S26" s="128" t="str">
        <f t="shared" si="1"/>
        <v/>
      </c>
      <c r="T26" s="128" t="str">
        <f>IF(S26="","",J26/(POWER(1+'Qredits maandlasten'!$C$8,$B26-1+1)))</f>
        <v/>
      </c>
      <c r="U26" s="130" t="str">
        <f t="shared" si="4"/>
        <v/>
      </c>
      <c r="V26" s="128" t="str">
        <f>IF($B26="","",K26/(POWER(1+'Qredits maandlasten'!$C$8,$B26-1+1)))</f>
        <v/>
      </c>
      <c r="W26" s="127"/>
      <c r="X26" s="130"/>
      <c r="Y26" s="131"/>
    </row>
    <row r="27" spans="1:28" s="132" customFormat="1" x14ac:dyDescent="0.2">
      <c r="A27" s="123"/>
      <c r="B27" s="124" t="str">
        <f>IF($B26="","",IF($B26+1&gt;'Qredits maandlasten'!$C$4,"",Schema!B26+1))</f>
        <v/>
      </c>
      <c r="C27" s="125" t="str">
        <f>IF($B26="","",IF($B26+1&gt;'Qredits maandlasten'!$C$4,"",EOMONTH(C26,0)+1))</f>
        <v/>
      </c>
      <c r="D27" s="123"/>
      <c r="E27" s="125" t="str">
        <f>IF($B26="","",IF($B26+1&gt;'Qredits maandlasten'!$C$4,"",F26+1))</f>
        <v/>
      </c>
      <c r="F27" s="125" t="str">
        <f>IF($B26="","",IF($B26+1&gt;'Qredits maandlasten'!$C$4,"",EOMONTH(E27,0)))</f>
        <v/>
      </c>
      <c r="G27" s="126" t="str">
        <f>IF($B26="","",IF($B26+1&gt;'Qredits maandlasten'!$C$4,"",(_xlfn.DAYS(F27,E27)+1)/DAY(F27)))</f>
        <v/>
      </c>
      <c r="H27" s="127"/>
      <c r="I27" s="128" t="str">
        <f>IF($B26="","",IF($B26+1&gt;'Qredits maandlasten'!$C$4,"",I26-J26))</f>
        <v/>
      </c>
      <c r="J27" s="128" t="str">
        <f>IF($B26="","",IF($B26+1&gt;'Qredits maandlasten'!$C$4,"",IF(B26&lt;'Qredits maandlasten'!$C$11-1,0,IF('Qredits maandlasten'!$C$10=dropdowns!$A$121,'Qredits maandlasten'!$J$3,IF('Qredits maandlasten'!$C$10=dropdowns!$A$120,IFERROR('Qredits maandlasten'!$J$3-K27,0),0)))))</f>
        <v/>
      </c>
      <c r="K27" s="128" t="str">
        <f>IF($B26="","",IF($B26+1&gt;'Qredits maandlasten'!$C$4,"",G27*I27*'Qredits maandlasten'!$C$8))</f>
        <v/>
      </c>
      <c r="L27" s="128" t="str">
        <f t="shared" si="2"/>
        <v/>
      </c>
      <c r="M27" s="128" t="str">
        <f t="shared" si="0"/>
        <v/>
      </c>
      <c r="N27" s="127"/>
      <c r="O27" s="129" t="str">
        <f>IF($B27="","",'Qredits maandlasten'!$C$8)</f>
        <v/>
      </c>
      <c r="P27" s="129" t="str">
        <f>IF($B27="","",'Qredits maandlasten'!$C$8*(POWER(1+'Qredits maandlasten'!$C$8,$B27-1+1)))</f>
        <v/>
      </c>
      <c r="Q27" s="129" t="str">
        <f t="shared" si="3"/>
        <v/>
      </c>
      <c r="R27" s="127"/>
      <c r="S27" s="128" t="str">
        <f t="shared" si="1"/>
        <v/>
      </c>
      <c r="T27" s="128" t="str">
        <f>IF(S27="","",J27/(POWER(1+'Qredits maandlasten'!$C$8,$B27-1+1)))</f>
        <v/>
      </c>
      <c r="U27" s="130" t="str">
        <f t="shared" si="4"/>
        <v/>
      </c>
      <c r="V27" s="128" t="str">
        <f>IF($B27="","",K27/(POWER(1+'Qredits maandlasten'!$C$8,$B27-1+1)))</f>
        <v/>
      </c>
      <c r="W27" s="127"/>
      <c r="X27" s="130"/>
      <c r="Y27" s="134"/>
      <c r="Z27" s="134"/>
      <c r="AA27" s="134"/>
      <c r="AB27" s="134"/>
    </row>
    <row r="28" spans="1:28" s="132" customFormat="1" x14ac:dyDescent="0.2">
      <c r="A28" s="123"/>
      <c r="B28" s="124" t="str">
        <f>IF($B27="","",IF($B27+1&gt;'Qredits maandlasten'!$C$4,"",Schema!B27+1))</f>
        <v/>
      </c>
      <c r="C28" s="125" t="str">
        <f>IF($B27="","",IF($B27+1&gt;'Qredits maandlasten'!$C$4,"",EOMONTH(C27,0)+1))</f>
        <v/>
      </c>
      <c r="D28" s="123"/>
      <c r="E28" s="125" t="str">
        <f>IF($B27="","",IF($B27+1&gt;'Qredits maandlasten'!$C$4,"",F27+1))</f>
        <v/>
      </c>
      <c r="F28" s="125" t="str">
        <f>IF($B27="","",IF($B27+1&gt;'Qredits maandlasten'!$C$4,"",EOMONTH(E28,0)))</f>
        <v/>
      </c>
      <c r="G28" s="126" t="str">
        <f>IF($B27="","",IF($B27+1&gt;'Qredits maandlasten'!$C$4,"",(_xlfn.DAYS(F28,E28)+1)/DAY(F28)))</f>
        <v/>
      </c>
      <c r="H28" s="127"/>
      <c r="I28" s="128" t="str">
        <f>IF($B27="","",IF($B27+1&gt;'Qredits maandlasten'!$C$4,"",I27-J27))</f>
        <v/>
      </c>
      <c r="J28" s="128" t="str">
        <f>IF($B27="","",IF($B27+1&gt;'Qredits maandlasten'!$C$4,"",IF(B27&lt;'Qredits maandlasten'!$C$11-1,0,IF('Qredits maandlasten'!$C$10=dropdowns!$A$121,'Qredits maandlasten'!$J$3,IF('Qredits maandlasten'!$C$10=dropdowns!$A$120,IFERROR('Qredits maandlasten'!$J$3-K28,0),0)))))</f>
        <v/>
      </c>
      <c r="K28" s="128" t="str">
        <f>IF($B27="","",IF($B27+1&gt;'Qredits maandlasten'!$C$4,"",G28*I28*'Qredits maandlasten'!$C$8))</f>
        <v/>
      </c>
      <c r="L28" s="128" t="str">
        <f t="shared" si="2"/>
        <v/>
      </c>
      <c r="M28" s="128" t="str">
        <f t="shared" si="0"/>
        <v/>
      </c>
      <c r="N28" s="127"/>
      <c r="O28" s="129" t="str">
        <f>IF($B28="","",'Qredits maandlasten'!$C$8)</f>
        <v/>
      </c>
      <c r="P28" s="129" t="str">
        <f>IF($B28="","",'Qredits maandlasten'!$C$8*(POWER(1+'Qredits maandlasten'!$C$8,$B28-1+1)))</f>
        <v/>
      </c>
      <c r="Q28" s="129" t="str">
        <f t="shared" si="3"/>
        <v/>
      </c>
      <c r="R28" s="127"/>
      <c r="S28" s="128" t="str">
        <f t="shared" si="1"/>
        <v/>
      </c>
      <c r="T28" s="128" t="str">
        <f>IF(S28="","",J28/(POWER(1+'Qredits maandlasten'!$C$8,$B28-1+1)))</f>
        <v/>
      </c>
      <c r="U28" s="130" t="str">
        <f t="shared" si="4"/>
        <v/>
      </c>
      <c r="V28" s="128" t="str">
        <f>IF($B28="","",K28/(POWER(1+'Qredits maandlasten'!$C$8,$B28-1+1)))</f>
        <v/>
      </c>
      <c r="W28" s="127"/>
      <c r="X28" s="130"/>
      <c r="Y28" s="134"/>
      <c r="Z28" s="134"/>
      <c r="AA28" s="134"/>
      <c r="AB28" s="134"/>
    </row>
    <row r="29" spans="1:28" s="132" customFormat="1" x14ac:dyDescent="0.2">
      <c r="A29" s="123"/>
      <c r="B29" s="124" t="str">
        <f>IF($B28="","",IF($B28+1&gt;'Qredits maandlasten'!$C$4,"",Schema!B28+1))</f>
        <v/>
      </c>
      <c r="C29" s="125" t="str">
        <f>IF($B28="","",IF($B28+1&gt;'Qredits maandlasten'!$C$4,"",EOMONTH(C28,0)+1))</f>
        <v/>
      </c>
      <c r="D29" s="123"/>
      <c r="E29" s="125" t="str">
        <f>IF($B28="","",IF($B28+1&gt;'Qredits maandlasten'!$C$4,"",F28+1))</f>
        <v/>
      </c>
      <c r="F29" s="125" t="str">
        <f>IF($B28="","",IF($B28+1&gt;'Qredits maandlasten'!$C$4,"",EOMONTH(E29,0)))</f>
        <v/>
      </c>
      <c r="G29" s="126" t="str">
        <f>IF($B28="","",IF($B28+1&gt;'Qredits maandlasten'!$C$4,"",(_xlfn.DAYS(F29,E29)+1)/DAY(F29)))</f>
        <v/>
      </c>
      <c r="H29" s="127"/>
      <c r="I29" s="128" t="str">
        <f>IF($B28="","",IF($B28+1&gt;'Qredits maandlasten'!$C$4,"",I28-J28))</f>
        <v/>
      </c>
      <c r="J29" s="128" t="str">
        <f>IF($B28="","",IF($B28+1&gt;'Qredits maandlasten'!$C$4,"",IF(B28&lt;'Qredits maandlasten'!$C$11-1,0,IF('Qredits maandlasten'!$C$10=dropdowns!$A$121,'Qredits maandlasten'!$J$3,IF('Qredits maandlasten'!$C$10=dropdowns!$A$120,IFERROR('Qredits maandlasten'!$J$3-K29,0),0)))))</f>
        <v/>
      </c>
      <c r="K29" s="128" t="str">
        <f>IF($B28="","",IF($B28+1&gt;'Qredits maandlasten'!$C$4,"",G29*I29*'Qredits maandlasten'!$C$8))</f>
        <v/>
      </c>
      <c r="L29" s="128" t="str">
        <f t="shared" si="2"/>
        <v/>
      </c>
      <c r="M29" s="128" t="str">
        <f t="shared" si="0"/>
        <v/>
      </c>
      <c r="N29" s="127"/>
      <c r="O29" s="129" t="str">
        <f>IF($B29="","",'Qredits maandlasten'!$C$8)</f>
        <v/>
      </c>
      <c r="P29" s="129" t="str">
        <f>IF($B29="","",'Qredits maandlasten'!$C$8*(POWER(1+'Qredits maandlasten'!$C$8,$B29-1+1)))</f>
        <v/>
      </c>
      <c r="Q29" s="129" t="str">
        <f t="shared" si="3"/>
        <v/>
      </c>
      <c r="R29" s="127"/>
      <c r="S29" s="128" t="str">
        <f t="shared" si="1"/>
        <v/>
      </c>
      <c r="T29" s="128" t="str">
        <f>IF(S29="","",J29/(POWER(1+'Qredits maandlasten'!$C$8,$B29-1+1)))</f>
        <v/>
      </c>
      <c r="U29" s="130" t="str">
        <f t="shared" si="4"/>
        <v/>
      </c>
      <c r="V29" s="128" t="str">
        <f>IF($B29="","",K29/(POWER(1+'Qredits maandlasten'!$C$8,$B29-1+1)))</f>
        <v/>
      </c>
      <c r="W29" s="127"/>
      <c r="X29" s="130"/>
      <c r="Y29" s="134"/>
      <c r="Z29" s="134"/>
      <c r="AA29" s="134"/>
      <c r="AB29" s="134">
        <v>9.2244933777033133E-3</v>
      </c>
    </row>
    <row r="30" spans="1:28" s="132" customFormat="1" x14ac:dyDescent="0.2">
      <c r="A30" s="123"/>
      <c r="B30" s="124" t="str">
        <f>IF($B29="","",IF($B29+1&gt;'Qredits maandlasten'!$C$4,"",Schema!B29+1))</f>
        <v/>
      </c>
      <c r="C30" s="125" t="str">
        <f>IF($B29="","",IF($B29+1&gt;'Qredits maandlasten'!$C$4,"",EOMONTH(C29,0)+1))</f>
        <v/>
      </c>
      <c r="D30" s="123"/>
      <c r="E30" s="125" t="str">
        <f>IF($B29="","",IF($B29+1&gt;'Qredits maandlasten'!$C$4,"",F29+1))</f>
        <v/>
      </c>
      <c r="F30" s="125" t="str">
        <f>IF($B29="","",IF($B29+1&gt;'Qredits maandlasten'!$C$4,"",EOMONTH(E30,0)))</f>
        <v/>
      </c>
      <c r="G30" s="126" t="str">
        <f>IF($B29="","",IF($B29+1&gt;'Qredits maandlasten'!$C$4,"",(_xlfn.DAYS(F30,E30)+1)/DAY(F30)))</f>
        <v/>
      </c>
      <c r="H30" s="127"/>
      <c r="I30" s="128" t="str">
        <f>IF($B29="","",IF($B29+1&gt;'Qredits maandlasten'!$C$4,"",I29-J29))</f>
        <v/>
      </c>
      <c r="J30" s="128" t="str">
        <f>IF($B29="","",IF($B29+1&gt;'Qredits maandlasten'!$C$4,"",IF(B29&lt;'Qredits maandlasten'!$C$11-1,0,IF('Qredits maandlasten'!$C$10=dropdowns!$A$121,'Qredits maandlasten'!$J$3,IF('Qredits maandlasten'!$C$10=dropdowns!$A$120,IFERROR('Qredits maandlasten'!$J$3-K30,0),0)))))</f>
        <v/>
      </c>
      <c r="K30" s="128" t="str">
        <f>IF($B29="","",IF($B29+1&gt;'Qredits maandlasten'!$C$4,"",G30*I30*'Qredits maandlasten'!$C$8))</f>
        <v/>
      </c>
      <c r="L30" s="128" t="str">
        <f t="shared" si="2"/>
        <v/>
      </c>
      <c r="M30" s="128" t="str">
        <f t="shared" si="0"/>
        <v/>
      </c>
      <c r="N30" s="127"/>
      <c r="O30" s="129" t="str">
        <f>IF($B30="","",'Qredits maandlasten'!$C$8)</f>
        <v/>
      </c>
      <c r="P30" s="129" t="str">
        <f>IF($B30="","",'Qredits maandlasten'!$C$8*(POWER(1+'Qredits maandlasten'!$C$8,$B30-1+1)))</f>
        <v/>
      </c>
      <c r="Q30" s="129" t="str">
        <f t="shared" si="3"/>
        <v/>
      </c>
      <c r="R30" s="127"/>
      <c r="S30" s="128" t="str">
        <f t="shared" si="1"/>
        <v/>
      </c>
      <c r="T30" s="128" t="str">
        <f>IF(S30="","",J30/(POWER(1+'Qredits maandlasten'!$C$8,$B30-1+1)))</f>
        <v/>
      </c>
      <c r="U30" s="130" t="str">
        <f t="shared" si="4"/>
        <v/>
      </c>
      <c r="V30" s="128" t="str">
        <f>IF($B30="","",K30/(POWER(1+'Qredits maandlasten'!$C$8,$B30-1+1)))</f>
        <v/>
      </c>
      <c r="W30" s="127"/>
      <c r="X30" s="130"/>
      <c r="Y30" s="131"/>
    </row>
    <row r="31" spans="1:28" s="132" customFormat="1" x14ac:dyDescent="0.2">
      <c r="A31" s="123"/>
      <c r="B31" s="124" t="str">
        <f>IF($B30="","",IF($B30+1&gt;'Qredits maandlasten'!$C$4,"",Schema!B30+1))</f>
        <v/>
      </c>
      <c r="C31" s="125" t="str">
        <f>IF($B30="","",IF($B30+1&gt;'Qredits maandlasten'!$C$4,"",EOMONTH(C30,0)+1))</f>
        <v/>
      </c>
      <c r="D31" s="123"/>
      <c r="E31" s="125" t="str">
        <f>IF($B30="","",IF($B30+1&gt;'Qredits maandlasten'!$C$4,"",F30+1))</f>
        <v/>
      </c>
      <c r="F31" s="125" t="str">
        <f>IF($B30="","",IF($B30+1&gt;'Qredits maandlasten'!$C$4,"",EOMONTH(E31,0)))</f>
        <v/>
      </c>
      <c r="G31" s="126" t="str">
        <f>IF($B30="","",IF($B30+1&gt;'Qredits maandlasten'!$C$4,"",(_xlfn.DAYS(F31,E31)+1)/DAY(F31)))</f>
        <v/>
      </c>
      <c r="H31" s="127"/>
      <c r="I31" s="128" t="str">
        <f>IF($B30="","",IF($B30+1&gt;'Qredits maandlasten'!$C$4,"",I30-J30))</f>
        <v/>
      </c>
      <c r="J31" s="128" t="str">
        <f>IF($B30="","",IF($B30+1&gt;'Qredits maandlasten'!$C$4,"",IF(B30&lt;'Qredits maandlasten'!$C$11-1,0,IF('Qredits maandlasten'!$C$10=dropdowns!$A$121,'Qredits maandlasten'!$J$3,IF('Qredits maandlasten'!$C$10=dropdowns!$A$120,IFERROR('Qredits maandlasten'!$J$3-K31,0),0)))))</f>
        <v/>
      </c>
      <c r="K31" s="128" t="str">
        <f>IF($B30="","",IF($B30+1&gt;'Qredits maandlasten'!$C$4,"",G31*I31*'Qredits maandlasten'!$C$8))</f>
        <v/>
      </c>
      <c r="L31" s="128" t="str">
        <f t="shared" si="2"/>
        <v/>
      </c>
      <c r="M31" s="128" t="str">
        <f t="shared" si="0"/>
        <v/>
      </c>
      <c r="N31" s="127"/>
      <c r="O31" s="129" t="str">
        <f>IF($B31="","",'Qredits maandlasten'!$C$8)</f>
        <v/>
      </c>
      <c r="P31" s="129" t="str">
        <f>IF($B31="","",'Qredits maandlasten'!$C$8*(POWER(1+'Qredits maandlasten'!$C$8,$B31-1+1)))</f>
        <v/>
      </c>
      <c r="Q31" s="129" t="str">
        <f t="shared" si="3"/>
        <v/>
      </c>
      <c r="R31" s="127"/>
      <c r="S31" s="128" t="str">
        <f t="shared" si="1"/>
        <v/>
      </c>
      <c r="T31" s="128" t="str">
        <f>IF(S31="","",J31/(POWER(1+'Qredits maandlasten'!$C$8,$B31-1+1)))</f>
        <v/>
      </c>
      <c r="U31" s="130" t="str">
        <f t="shared" si="4"/>
        <v/>
      </c>
      <c r="V31" s="128" t="str">
        <f>IF($B31="","",K31/(POWER(1+'Qredits maandlasten'!$C$8,$B31-1+1)))</f>
        <v/>
      </c>
      <c r="W31" s="127"/>
      <c r="X31" s="130"/>
      <c r="Y31" s="133"/>
    </row>
    <row r="32" spans="1:28" s="132" customFormat="1" x14ac:dyDescent="0.2">
      <c r="A32" s="123"/>
      <c r="B32" s="124" t="str">
        <f>IF($B31="","",IF($B31+1&gt;'Qredits maandlasten'!$C$4,"",Schema!B31+1))</f>
        <v/>
      </c>
      <c r="C32" s="125" t="str">
        <f>IF($B31="","",IF($B31+1&gt;'Qredits maandlasten'!$C$4,"",EOMONTH(C31,0)+1))</f>
        <v/>
      </c>
      <c r="D32" s="123"/>
      <c r="E32" s="125" t="str">
        <f>IF($B31="","",IF($B31+1&gt;'Qredits maandlasten'!$C$4,"",F31+1))</f>
        <v/>
      </c>
      <c r="F32" s="125" t="str">
        <f>IF($B31="","",IF($B31+1&gt;'Qredits maandlasten'!$C$4,"",EOMONTH(E32,0)))</f>
        <v/>
      </c>
      <c r="G32" s="126" t="str">
        <f>IF($B31="","",IF($B31+1&gt;'Qredits maandlasten'!$C$4,"",(_xlfn.DAYS(F32,E32)+1)/DAY(F32)))</f>
        <v/>
      </c>
      <c r="H32" s="127"/>
      <c r="I32" s="128" t="str">
        <f>IF($B31="","",IF($B31+1&gt;'Qredits maandlasten'!$C$4,"",I31-J31))</f>
        <v/>
      </c>
      <c r="J32" s="128" t="str">
        <f>IF($B31="","",IF($B31+1&gt;'Qredits maandlasten'!$C$4,"",IF(B31&lt;'Qredits maandlasten'!$C$11-1,0,IF('Qredits maandlasten'!$C$10=dropdowns!$A$121,'Qredits maandlasten'!$J$3,IF('Qredits maandlasten'!$C$10=dropdowns!$A$120,IFERROR('Qredits maandlasten'!$J$3-K32,0),0)))))</f>
        <v/>
      </c>
      <c r="K32" s="128" t="str">
        <f>IF($B31="","",IF($B31+1&gt;'Qredits maandlasten'!$C$4,"",G32*I32*'Qredits maandlasten'!$C$8))</f>
        <v/>
      </c>
      <c r="L32" s="128" t="str">
        <f t="shared" si="2"/>
        <v/>
      </c>
      <c r="M32" s="128" t="str">
        <f t="shared" si="0"/>
        <v/>
      </c>
      <c r="N32" s="127"/>
      <c r="O32" s="129" t="str">
        <f>IF($B32="","",'Qredits maandlasten'!$C$8)</f>
        <v/>
      </c>
      <c r="P32" s="129" t="str">
        <f>IF($B32="","",'Qredits maandlasten'!$C$8*(POWER(1+'Qredits maandlasten'!$C$8,$B32-1+1)))</f>
        <v/>
      </c>
      <c r="Q32" s="129" t="str">
        <f t="shared" si="3"/>
        <v/>
      </c>
      <c r="R32" s="127"/>
      <c r="S32" s="128" t="str">
        <f t="shared" si="1"/>
        <v/>
      </c>
      <c r="T32" s="128" t="str">
        <f>IF(S32="","",J32/(POWER(1+'Qredits maandlasten'!$C$8,$B32-1+1)))</f>
        <v/>
      </c>
      <c r="U32" s="130" t="str">
        <f t="shared" si="4"/>
        <v/>
      </c>
      <c r="V32" s="128" t="str">
        <f>IF($B32="","",K32/(POWER(1+'Qredits maandlasten'!$C$8,$B32-1+1)))</f>
        <v/>
      </c>
      <c r="W32" s="127"/>
      <c r="X32" s="130"/>
      <c r="Y32" s="131"/>
    </row>
    <row r="33" spans="1:25" s="132" customFormat="1" x14ac:dyDescent="0.2">
      <c r="A33" s="123"/>
      <c r="B33" s="124" t="str">
        <f>IF($B32="","",IF($B32+1&gt;'Qredits maandlasten'!$C$4,"",Schema!B32+1))</f>
        <v/>
      </c>
      <c r="C33" s="125" t="str">
        <f>IF($B32="","",IF($B32+1&gt;'Qredits maandlasten'!$C$4,"",EOMONTH(C32,0)+1))</f>
        <v/>
      </c>
      <c r="D33" s="123"/>
      <c r="E33" s="125" t="str">
        <f>IF($B32="","",IF($B32+1&gt;'Qredits maandlasten'!$C$4,"",F32+1))</f>
        <v/>
      </c>
      <c r="F33" s="125" t="str">
        <f>IF($B32="","",IF($B32+1&gt;'Qredits maandlasten'!$C$4,"",EOMONTH(E33,0)))</f>
        <v/>
      </c>
      <c r="G33" s="126" t="str">
        <f>IF($B32="","",IF($B32+1&gt;'Qredits maandlasten'!$C$4,"",(_xlfn.DAYS(F33,E33)+1)/DAY(F33)))</f>
        <v/>
      </c>
      <c r="H33" s="127"/>
      <c r="I33" s="128" t="str">
        <f>IF($B32="","",IF($B32+1&gt;'Qredits maandlasten'!$C$4,"",I32-J32))</f>
        <v/>
      </c>
      <c r="J33" s="128" t="str">
        <f>IF($B32="","",IF($B32+1&gt;'Qredits maandlasten'!$C$4,"",IF(B32&lt;'Qredits maandlasten'!$C$11-1,0,IF('Qredits maandlasten'!$C$10=dropdowns!$A$121,'Qredits maandlasten'!$J$3,IF('Qredits maandlasten'!$C$10=dropdowns!$A$120,IFERROR('Qredits maandlasten'!$J$3-K33,0),0)))))</f>
        <v/>
      </c>
      <c r="K33" s="128" t="str">
        <f>IF($B32="","",IF($B32+1&gt;'Qredits maandlasten'!$C$4,"",G33*I33*'Qredits maandlasten'!$C$8))</f>
        <v/>
      </c>
      <c r="L33" s="128" t="str">
        <f t="shared" si="2"/>
        <v/>
      </c>
      <c r="M33" s="128" t="str">
        <f t="shared" si="0"/>
        <v/>
      </c>
      <c r="N33" s="127"/>
      <c r="O33" s="129" t="str">
        <f>IF($B33="","",'Qredits maandlasten'!$C$8)</f>
        <v/>
      </c>
      <c r="P33" s="129" t="str">
        <f>IF($B33="","",'Qredits maandlasten'!$C$8*(POWER(1+'Qredits maandlasten'!$C$8,$B33-1+1)))</f>
        <v/>
      </c>
      <c r="Q33" s="129" t="str">
        <f t="shared" si="3"/>
        <v/>
      </c>
      <c r="R33" s="127"/>
      <c r="S33" s="128" t="str">
        <f t="shared" si="1"/>
        <v/>
      </c>
      <c r="T33" s="128" t="str">
        <f>IF(S33="","",J33/(POWER(1+'Qredits maandlasten'!$C$8,$B33-1+1)))</f>
        <v/>
      </c>
      <c r="U33" s="130" t="str">
        <f t="shared" si="4"/>
        <v/>
      </c>
      <c r="V33" s="128" t="str">
        <f>IF($B33="","",K33/(POWER(1+'Qredits maandlasten'!$C$8,$B33-1+1)))</f>
        <v/>
      </c>
      <c r="W33" s="127"/>
      <c r="X33" s="130"/>
      <c r="Y33" s="131"/>
    </row>
    <row r="34" spans="1:25" s="132" customFormat="1" x14ac:dyDescent="0.2">
      <c r="A34" s="123"/>
      <c r="B34" s="124" t="str">
        <f>IF($B33="","",IF($B33+1&gt;'Qredits maandlasten'!$C$4,"",Schema!B33+1))</f>
        <v/>
      </c>
      <c r="C34" s="125" t="str">
        <f>IF($B33="","",IF($B33+1&gt;'Qredits maandlasten'!$C$4,"",EOMONTH(C33,0)+1))</f>
        <v/>
      </c>
      <c r="D34" s="123"/>
      <c r="E34" s="125" t="str">
        <f>IF($B33="","",IF($B33+1&gt;'Qredits maandlasten'!$C$4,"",F33+1))</f>
        <v/>
      </c>
      <c r="F34" s="125" t="str">
        <f>IF($B33="","",IF($B33+1&gt;'Qredits maandlasten'!$C$4,"",EOMONTH(E34,0)))</f>
        <v/>
      </c>
      <c r="G34" s="126" t="str">
        <f>IF($B33="","",IF($B33+1&gt;'Qredits maandlasten'!$C$4,"",(_xlfn.DAYS(F34,E34)+1)/DAY(F34)))</f>
        <v/>
      </c>
      <c r="H34" s="127"/>
      <c r="I34" s="128" t="str">
        <f>IF($B33="","",IF($B33+1&gt;'Qredits maandlasten'!$C$4,"",I33-J33))</f>
        <v/>
      </c>
      <c r="J34" s="128" t="str">
        <f>IF($B33="","",IF($B33+1&gt;'Qredits maandlasten'!$C$4,"",IF(B33&lt;'Qredits maandlasten'!$C$11-1,0,IF('Qredits maandlasten'!$C$10=dropdowns!$A$121,'Qredits maandlasten'!$J$3,IF('Qredits maandlasten'!$C$10=dropdowns!$A$120,IFERROR('Qredits maandlasten'!$J$3-K34,0),0)))))</f>
        <v/>
      </c>
      <c r="K34" s="128" t="str">
        <f>IF($B33="","",IF($B33+1&gt;'Qredits maandlasten'!$C$4,"",G34*I34*'Qredits maandlasten'!$C$8))</f>
        <v/>
      </c>
      <c r="L34" s="128" t="str">
        <f t="shared" si="2"/>
        <v/>
      </c>
      <c r="M34" s="128" t="str">
        <f t="shared" si="0"/>
        <v/>
      </c>
      <c r="N34" s="127"/>
      <c r="O34" s="129" t="str">
        <f>IF($B34="","",'Qredits maandlasten'!$C$8)</f>
        <v/>
      </c>
      <c r="P34" s="129" t="str">
        <f>IF($B34="","",'Qredits maandlasten'!$C$8*(POWER(1+'Qredits maandlasten'!$C$8,$B34-1+1)))</f>
        <v/>
      </c>
      <c r="Q34" s="129" t="str">
        <f t="shared" si="3"/>
        <v/>
      </c>
      <c r="R34" s="127"/>
      <c r="S34" s="128" t="str">
        <f t="shared" si="1"/>
        <v/>
      </c>
      <c r="T34" s="128" t="str">
        <f>IF(S34="","",J34/(POWER(1+'Qredits maandlasten'!$C$8,$B34-1+1)))</f>
        <v/>
      </c>
      <c r="U34" s="130" t="str">
        <f t="shared" si="4"/>
        <v/>
      </c>
      <c r="V34" s="128" t="str">
        <f>IF($B34="","",K34/(POWER(1+'Qredits maandlasten'!$C$8,$B34-1+1)))</f>
        <v/>
      </c>
      <c r="W34" s="127"/>
      <c r="X34" s="130"/>
      <c r="Y34" s="131"/>
    </row>
    <row r="35" spans="1:25" s="132" customFormat="1" x14ac:dyDescent="0.2">
      <c r="A35" s="123"/>
      <c r="B35" s="124" t="str">
        <f>IF($B34="","",IF($B34+1&gt;'Qredits maandlasten'!$C$4,"",Schema!B34+1))</f>
        <v/>
      </c>
      <c r="C35" s="125" t="str">
        <f>IF($B34="","",IF($B34+1&gt;'Qredits maandlasten'!$C$4,"",EOMONTH(C34,0)+1))</f>
        <v/>
      </c>
      <c r="D35" s="123"/>
      <c r="E35" s="125" t="str">
        <f>IF($B34="","",IF($B34+1&gt;'Qredits maandlasten'!$C$4,"",F34+1))</f>
        <v/>
      </c>
      <c r="F35" s="125" t="str">
        <f>IF($B34="","",IF($B34+1&gt;'Qredits maandlasten'!$C$4,"",EOMONTH(E35,0)))</f>
        <v/>
      </c>
      <c r="G35" s="126" t="str">
        <f>IF($B34="","",IF($B34+1&gt;'Qredits maandlasten'!$C$4,"",(_xlfn.DAYS(F35,E35)+1)/DAY(F35)))</f>
        <v/>
      </c>
      <c r="H35" s="127"/>
      <c r="I35" s="128" t="str">
        <f>IF($B34="","",IF($B34+1&gt;'Qredits maandlasten'!$C$4,"",I34-J34))</f>
        <v/>
      </c>
      <c r="J35" s="128" t="str">
        <f>IF($B34="","",IF($B34+1&gt;'Qredits maandlasten'!$C$4,"",IF(B34&lt;'Qredits maandlasten'!$C$11-1,0,IF('Qredits maandlasten'!$C$10=dropdowns!$A$121,'Qredits maandlasten'!$J$3,IF('Qredits maandlasten'!$C$10=dropdowns!$A$120,IFERROR('Qredits maandlasten'!$J$3-K35,0),0)))))</f>
        <v/>
      </c>
      <c r="K35" s="128" t="str">
        <f>IF($B34="","",IF($B34+1&gt;'Qredits maandlasten'!$C$4,"",G35*I35*'Qredits maandlasten'!$C$8))</f>
        <v/>
      </c>
      <c r="L35" s="128" t="str">
        <f t="shared" si="2"/>
        <v/>
      </c>
      <c r="M35" s="128" t="str">
        <f t="shared" si="0"/>
        <v/>
      </c>
      <c r="N35" s="127"/>
      <c r="O35" s="129" t="str">
        <f>IF($B35="","",'Qredits maandlasten'!$C$8)</f>
        <v/>
      </c>
      <c r="P35" s="129" t="str">
        <f>IF($B35="","",'Qredits maandlasten'!$C$8*(POWER(1+'Qredits maandlasten'!$C$8,$B35-1+1)))</f>
        <v/>
      </c>
      <c r="Q35" s="129" t="str">
        <f t="shared" si="3"/>
        <v/>
      </c>
      <c r="R35" s="127"/>
      <c r="S35" s="128" t="str">
        <f t="shared" si="1"/>
        <v/>
      </c>
      <c r="T35" s="128" t="str">
        <f>IF(S35="","",J35/(POWER(1+'Qredits maandlasten'!$C$8,$B35-1+1)))</f>
        <v/>
      </c>
      <c r="U35" s="130" t="str">
        <f t="shared" si="4"/>
        <v/>
      </c>
      <c r="V35" s="128" t="str">
        <f>IF($B35="","",K35/(POWER(1+'Qredits maandlasten'!$C$8,$B35-1+1)))</f>
        <v/>
      </c>
      <c r="W35" s="127"/>
      <c r="X35" s="130"/>
      <c r="Y35" s="131"/>
    </row>
    <row r="36" spans="1:25" s="132" customFormat="1" x14ac:dyDescent="0.2">
      <c r="A36" s="123"/>
      <c r="B36" s="124" t="str">
        <f>IF($B35="","",IF($B35+1&gt;'Qredits maandlasten'!$C$4,"",Schema!B35+1))</f>
        <v/>
      </c>
      <c r="C36" s="125" t="str">
        <f>IF($B35="","",IF($B35+1&gt;'Qredits maandlasten'!$C$4,"",EOMONTH(C35,0)+1))</f>
        <v/>
      </c>
      <c r="D36" s="123"/>
      <c r="E36" s="125" t="str">
        <f>IF($B35="","",IF($B35+1&gt;'Qredits maandlasten'!$C$4,"",F35+1))</f>
        <v/>
      </c>
      <c r="F36" s="125" t="str">
        <f>IF($B35="","",IF($B35+1&gt;'Qredits maandlasten'!$C$4,"",EOMONTH(E36,0)))</f>
        <v/>
      </c>
      <c r="G36" s="126" t="str">
        <f>IF($B35="","",IF($B35+1&gt;'Qredits maandlasten'!$C$4,"",(_xlfn.DAYS(F36,E36)+1)/DAY(F36)))</f>
        <v/>
      </c>
      <c r="H36" s="127"/>
      <c r="I36" s="128" t="str">
        <f>IF($B35="","",IF($B35+1&gt;'Qredits maandlasten'!$C$4,"",I35-J35))</f>
        <v/>
      </c>
      <c r="J36" s="128" t="str">
        <f>IF($B35="","",IF($B35+1&gt;'Qredits maandlasten'!$C$4,"",IF(B35&lt;'Qredits maandlasten'!$C$11-1,0,IF('Qredits maandlasten'!$C$10=dropdowns!$A$121,'Qredits maandlasten'!$J$3,IF('Qredits maandlasten'!$C$10=dropdowns!$A$120,IFERROR('Qredits maandlasten'!$J$3-K36,0),0)))))</f>
        <v/>
      </c>
      <c r="K36" s="128" t="str">
        <f>IF($B35="","",IF($B35+1&gt;'Qredits maandlasten'!$C$4,"",G36*I36*'Qredits maandlasten'!$C$8))</f>
        <v/>
      </c>
      <c r="L36" s="128" t="str">
        <f t="shared" si="2"/>
        <v/>
      </c>
      <c r="M36" s="128" t="str">
        <f t="shared" si="0"/>
        <v/>
      </c>
      <c r="N36" s="127"/>
      <c r="O36" s="129" t="str">
        <f>IF($B36="","",'Qredits maandlasten'!$C$8)</f>
        <v/>
      </c>
      <c r="P36" s="129" t="str">
        <f>IF($B36="","",'Qredits maandlasten'!$C$8*(POWER(1+'Qredits maandlasten'!$C$8,$B36-1+1)))</f>
        <v/>
      </c>
      <c r="Q36" s="129" t="str">
        <f t="shared" si="3"/>
        <v/>
      </c>
      <c r="R36" s="127"/>
      <c r="S36" s="128" t="str">
        <f t="shared" si="1"/>
        <v/>
      </c>
      <c r="T36" s="128" t="str">
        <f>IF(S36="","",J36/(POWER(1+'Qredits maandlasten'!$C$8,$B36-1+1)))</f>
        <v/>
      </c>
      <c r="U36" s="130" t="str">
        <f t="shared" si="4"/>
        <v/>
      </c>
      <c r="V36" s="128" t="str">
        <f>IF($B36="","",K36/(POWER(1+'Qredits maandlasten'!$C$8,$B36-1+1)))</f>
        <v/>
      </c>
      <c r="W36" s="127"/>
      <c r="X36" s="130"/>
      <c r="Y36" s="131"/>
    </row>
    <row r="37" spans="1:25" s="132" customFormat="1" x14ac:dyDescent="0.2">
      <c r="A37" s="123"/>
      <c r="B37" s="124" t="str">
        <f>IF($B36="","",IF($B36+1&gt;'Qredits maandlasten'!$C$4,"",Schema!B36+1))</f>
        <v/>
      </c>
      <c r="C37" s="125" t="str">
        <f>IF($B36="","",IF($B36+1&gt;'Qredits maandlasten'!$C$4,"",EOMONTH(C36,0)+1))</f>
        <v/>
      </c>
      <c r="D37" s="123"/>
      <c r="E37" s="125" t="str">
        <f>IF($B36="","",IF($B36+1&gt;'Qredits maandlasten'!$C$4,"",F36+1))</f>
        <v/>
      </c>
      <c r="F37" s="125" t="str">
        <f>IF($B36="","",IF($B36+1&gt;'Qredits maandlasten'!$C$4,"",EOMONTH(E37,0)))</f>
        <v/>
      </c>
      <c r="G37" s="126" t="str">
        <f>IF($B36="","",IF($B36+1&gt;'Qredits maandlasten'!$C$4,"",(_xlfn.DAYS(F37,E37)+1)/DAY(F37)))</f>
        <v/>
      </c>
      <c r="H37" s="127"/>
      <c r="I37" s="128" t="str">
        <f>IF($B36="","",IF($B36+1&gt;'Qredits maandlasten'!$C$4,"",I36-J36))</f>
        <v/>
      </c>
      <c r="J37" s="128" t="str">
        <f>IF($B36="","",IF($B36+1&gt;'Qredits maandlasten'!$C$4,"",IF(B36&lt;'Qredits maandlasten'!$C$11-1,0,IF('Qredits maandlasten'!$C$10=dropdowns!$A$121,'Qredits maandlasten'!$J$3,IF('Qredits maandlasten'!$C$10=dropdowns!$A$120,IFERROR('Qredits maandlasten'!$J$3-K37,0),0)))))</f>
        <v/>
      </c>
      <c r="K37" s="128" t="str">
        <f>IF($B36="","",IF($B36+1&gt;'Qredits maandlasten'!$C$4,"",G37*I37*'Qredits maandlasten'!$C$8))</f>
        <v/>
      </c>
      <c r="L37" s="128" t="str">
        <f t="shared" si="2"/>
        <v/>
      </c>
      <c r="M37" s="128" t="str">
        <f t="shared" si="0"/>
        <v/>
      </c>
      <c r="N37" s="127"/>
      <c r="O37" s="129" t="str">
        <f>IF($B37="","",'Qredits maandlasten'!$C$8)</f>
        <v/>
      </c>
      <c r="P37" s="129" t="str">
        <f>IF($B37="","",'Qredits maandlasten'!$C$8*(POWER(1+'Qredits maandlasten'!$C$8,$B37-1+1)))</f>
        <v/>
      </c>
      <c r="Q37" s="129" t="str">
        <f t="shared" si="3"/>
        <v/>
      </c>
      <c r="R37" s="127"/>
      <c r="S37" s="128" t="str">
        <f t="shared" si="1"/>
        <v/>
      </c>
      <c r="T37" s="128" t="str">
        <f>IF(S37="","",J37/(POWER(1+'Qredits maandlasten'!$C$8,$B37-1+1)))</f>
        <v/>
      </c>
      <c r="U37" s="130" t="str">
        <f t="shared" si="4"/>
        <v/>
      </c>
      <c r="V37" s="128" t="str">
        <f>IF($B37="","",K37/(POWER(1+'Qredits maandlasten'!$C$8,$B37-1+1)))</f>
        <v/>
      </c>
      <c r="W37" s="127"/>
      <c r="X37" s="130"/>
      <c r="Y37" s="131"/>
    </row>
    <row r="38" spans="1:25" s="132" customFormat="1" x14ac:dyDescent="0.2">
      <c r="A38" s="123"/>
      <c r="B38" s="124" t="str">
        <f>IF($B37="","",IF($B37+1&gt;'Qredits maandlasten'!$C$4,"",Schema!B37+1))</f>
        <v/>
      </c>
      <c r="C38" s="125" t="str">
        <f>IF($B37="","",IF($B37+1&gt;'Qredits maandlasten'!$C$4,"",EOMONTH(C37,0)+1))</f>
        <v/>
      </c>
      <c r="D38" s="123"/>
      <c r="E38" s="125" t="str">
        <f>IF($B37="","",IF($B37+1&gt;'Qredits maandlasten'!$C$4,"",F37+1))</f>
        <v/>
      </c>
      <c r="F38" s="125" t="str">
        <f>IF($B37="","",IF($B37+1&gt;'Qredits maandlasten'!$C$4,"",EOMONTH(E38,0)))</f>
        <v/>
      </c>
      <c r="G38" s="126" t="str">
        <f>IF($B37="","",IF($B37+1&gt;'Qredits maandlasten'!$C$4,"",(_xlfn.DAYS(F38,E38)+1)/DAY(F38)))</f>
        <v/>
      </c>
      <c r="H38" s="127"/>
      <c r="I38" s="128" t="str">
        <f>IF($B37="","",IF($B37+1&gt;'Qredits maandlasten'!$C$4,"",I37-J37))</f>
        <v/>
      </c>
      <c r="J38" s="128" t="str">
        <f>IF($B37="","",IF($B37+1&gt;'Qredits maandlasten'!$C$4,"",IF(B37&lt;'Qredits maandlasten'!$C$11-1,0,IF('Qredits maandlasten'!$C$10=dropdowns!$A$121,'Qredits maandlasten'!$J$3,IF('Qredits maandlasten'!$C$10=dropdowns!$A$120,IFERROR('Qredits maandlasten'!$J$3-K38,0),0)))))</f>
        <v/>
      </c>
      <c r="K38" s="128" t="str">
        <f>IF($B37="","",IF($B37+1&gt;'Qredits maandlasten'!$C$4,"",G38*I38*'Qredits maandlasten'!$C$8))</f>
        <v/>
      </c>
      <c r="L38" s="128" t="str">
        <f t="shared" si="2"/>
        <v/>
      </c>
      <c r="M38" s="128" t="str">
        <f t="shared" si="0"/>
        <v/>
      </c>
      <c r="N38" s="127"/>
      <c r="O38" s="129" t="str">
        <f>IF($B38="","",'Qredits maandlasten'!$C$8)</f>
        <v/>
      </c>
      <c r="P38" s="129" t="str">
        <f>IF($B38="","",'Qredits maandlasten'!$C$8*(POWER(1+'Qredits maandlasten'!$C$8,$B38-1+1)))</f>
        <v/>
      </c>
      <c r="Q38" s="129" t="str">
        <f t="shared" si="3"/>
        <v/>
      </c>
      <c r="R38" s="127"/>
      <c r="S38" s="128" t="str">
        <f t="shared" si="1"/>
        <v/>
      </c>
      <c r="T38" s="128" t="str">
        <f>IF(S38="","",J38/(POWER(1+'Qredits maandlasten'!$C$8,$B38-1+1)))</f>
        <v/>
      </c>
      <c r="U38" s="130" t="str">
        <f t="shared" si="4"/>
        <v/>
      </c>
      <c r="V38" s="128" t="str">
        <f>IF($B38="","",K38/(POWER(1+'Qredits maandlasten'!$C$8,$B38-1+1)))</f>
        <v/>
      </c>
      <c r="W38" s="127"/>
      <c r="X38" s="130"/>
      <c r="Y38" s="131"/>
    </row>
    <row r="39" spans="1:25" s="132" customFormat="1" x14ac:dyDescent="0.2">
      <c r="A39" s="123"/>
      <c r="B39" s="124" t="str">
        <f>IF($B38="","",IF($B38+1&gt;'Qredits maandlasten'!$C$4,"",Schema!B38+1))</f>
        <v/>
      </c>
      <c r="C39" s="125" t="str">
        <f>IF($B38="","",IF($B38+1&gt;'Qredits maandlasten'!$C$4,"",EOMONTH(C38,0)+1))</f>
        <v/>
      </c>
      <c r="D39" s="123"/>
      <c r="E39" s="125" t="str">
        <f>IF($B38="","",IF($B38+1&gt;'Qredits maandlasten'!$C$4,"",F38+1))</f>
        <v/>
      </c>
      <c r="F39" s="125" t="str">
        <f>IF($B38="","",IF($B38+1&gt;'Qredits maandlasten'!$C$4,"",EOMONTH(E39,0)))</f>
        <v/>
      </c>
      <c r="G39" s="126" t="str">
        <f>IF($B38="","",IF($B38+1&gt;'Qredits maandlasten'!$C$4,"",(_xlfn.DAYS(F39,E39)+1)/DAY(F39)))</f>
        <v/>
      </c>
      <c r="H39" s="127"/>
      <c r="I39" s="128" t="str">
        <f>IF($B38="","",IF($B38+1&gt;'Qredits maandlasten'!$C$4,"",I38-J38))</f>
        <v/>
      </c>
      <c r="J39" s="128" t="str">
        <f>IF($B38="","",IF($B38+1&gt;'Qredits maandlasten'!$C$4,"",IF(B38&lt;'Qredits maandlasten'!$C$11-1,0,IF('Qredits maandlasten'!$C$10=dropdowns!$A$121,'Qredits maandlasten'!$J$3,IF('Qredits maandlasten'!$C$10=dropdowns!$A$120,IFERROR('Qredits maandlasten'!$J$3-K39,0),0)))))</f>
        <v/>
      </c>
      <c r="K39" s="128" t="str">
        <f>IF($B38="","",IF($B38+1&gt;'Qredits maandlasten'!$C$4,"",G39*I39*'Qredits maandlasten'!$C$8))</f>
        <v/>
      </c>
      <c r="L39" s="128" t="str">
        <f t="shared" si="2"/>
        <v/>
      </c>
      <c r="M39" s="128" t="str">
        <f t="shared" si="0"/>
        <v/>
      </c>
      <c r="N39" s="127"/>
      <c r="O39" s="129" t="str">
        <f>IF($B39="","",'Qredits maandlasten'!$C$8)</f>
        <v/>
      </c>
      <c r="P39" s="129" t="str">
        <f>IF($B39="","",'Qredits maandlasten'!$C$8*(POWER(1+'Qredits maandlasten'!$C$8,$B39-1+1)))</f>
        <v/>
      </c>
      <c r="Q39" s="129" t="str">
        <f t="shared" si="3"/>
        <v/>
      </c>
      <c r="R39" s="127"/>
      <c r="S39" s="128" t="str">
        <f t="shared" si="1"/>
        <v/>
      </c>
      <c r="T39" s="128" t="str">
        <f>IF(S39="","",J39/(POWER(1+'Qredits maandlasten'!$C$8,$B39-1+1)))</f>
        <v/>
      </c>
      <c r="U39" s="130" t="str">
        <f t="shared" si="4"/>
        <v/>
      </c>
      <c r="V39" s="128" t="str">
        <f>IF($B39="","",K39/(POWER(1+'Qredits maandlasten'!$C$8,$B39-1+1)))</f>
        <v/>
      </c>
      <c r="W39" s="127"/>
      <c r="X39" s="130"/>
      <c r="Y39" s="131"/>
    </row>
    <row r="40" spans="1:25" s="132" customFormat="1" x14ac:dyDescent="0.2">
      <c r="A40" s="123"/>
      <c r="B40" s="124" t="str">
        <f>IF($B39="","",IF($B39+1&gt;'Qredits maandlasten'!$C$4,"",Schema!B39+1))</f>
        <v/>
      </c>
      <c r="C40" s="125" t="str">
        <f>IF($B39="","",IF($B39+1&gt;'Qredits maandlasten'!$C$4,"",EOMONTH(C39,0)+1))</f>
        <v/>
      </c>
      <c r="D40" s="123"/>
      <c r="E40" s="125" t="str">
        <f>IF($B39="","",IF($B39+1&gt;'Qredits maandlasten'!$C$4,"",F39+1))</f>
        <v/>
      </c>
      <c r="F40" s="125" t="str">
        <f>IF($B39="","",IF($B39+1&gt;'Qredits maandlasten'!$C$4,"",EOMONTH(E40,0)))</f>
        <v/>
      </c>
      <c r="G40" s="126" t="str">
        <f>IF($B39="","",IF($B39+1&gt;'Qredits maandlasten'!$C$4,"",(_xlfn.DAYS(F40,E40)+1)/DAY(F40)))</f>
        <v/>
      </c>
      <c r="H40" s="127"/>
      <c r="I40" s="128" t="str">
        <f>IF($B39="","",IF($B39+1&gt;'Qredits maandlasten'!$C$4,"",I39-J39))</f>
        <v/>
      </c>
      <c r="J40" s="128" t="str">
        <f>IF($B39="","",IF($B39+1&gt;'Qredits maandlasten'!$C$4,"",IF(B39&lt;'Qredits maandlasten'!$C$11-1,0,IF('Qredits maandlasten'!$C$10=dropdowns!$A$121,'Qredits maandlasten'!$J$3,IF('Qredits maandlasten'!$C$10=dropdowns!$A$120,IFERROR('Qredits maandlasten'!$J$3-K40,0),0)))))</f>
        <v/>
      </c>
      <c r="K40" s="128" t="str">
        <f>IF($B39="","",IF($B39+1&gt;'Qredits maandlasten'!$C$4,"",G40*I40*'Qredits maandlasten'!$C$8))</f>
        <v/>
      </c>
      <c r="L40" s="128" t="str">
        <f t="shared" si="2"/>
        <v/>
      </c>
      <c r="M40" s="128" t="str">
        <f t="shared" si="0"/>
        <v/>
      </c>
      <c r="N40" s="127"/>
      <c r="O40" s="129" t="str">
        <f>IF($B40="","",'Qredits maandlasten'!$C$8)</f>
        <v/>
      </c>
      <c r="P40" s="129" t="str">
        <f>IF($B40="","",'Qredits maandlasten'!$C$8*(POWER(1+'Qredits maandlasten'!$C$8,$B40-1+1)))</f>
        <v/>
      </c>
      <c r="Q40" s="129" t="str">
        <f t="shared" si="3"/>
        <v/>
      </c>
      <c r="R40" s="127"/>
      <c r="S40" s="128" t="str">
        <f t="shared" si="1"/>
        <v/>
      </c>
      <c r="T40" s="128" t="str">
        <f>IF(S40="","",J40/(POWER(1+'Qredits maandlasten'!$C$8,$B40-1+1)))</f>
        <v/>
      </c>
      <c r="U40" s="130" t="str">
        <f t="shared" si="4"/>
        <v/>
      </c>
      <c r="V40" s="128" t="str">
        <f>IF($B40="","",K40/(POWER(1+'Qredits maandlasten'!$C$8,$B40-1+1)))</f>
        <v/>
      </c>
      <c r="W40" s="127"/>
      <c r="X40" s="130"/>
      <c r="Y40" s="131"/>
    </row>
    <row r="41" spans="1:25" s="132" customFormat="1" x14ac:dyDescent="0.2">
      <c r="A41" s="123"/>
      <c r="B41" s="124" t="str">
        <f>IF($B40="","",IF($B40+1&gt;'Qredits maandlasten'!$C$4,"",Schema!B40+1))</f>
        <v/>
      </c>
      <c r="C41" s="125" t="str">
        <f>IF($B40="","",IF($B40+1&gt;'Qredits maandlasten'!$C$4,"",EOMONTH(C40,0)+1))</f>
        <v/>
      </c>
      <c r="D41" s="123"/>
      <c r="E41" s="125" t="str">
        <f>IF($B40="","",IF($B40+1&gt;'Qredits maandlasten'!$C$4,"",F40+1))</f>
        <v/>
      </c>
      <c r="F41" s="125" t="str">
        <f>IF($B40="","",IF($B40+1&gt;'Qredits maandlasten'!$C$4,"",EOMONTH(E41,0)))</f>
        <v/>
      </c>
      <c r="G41" s="126" t="str">
        <f>IF($B40="","",IF($B40+1&gt;'Qredits maandlasten'!$C$4,"",(_xlfn.DAYS(F41,E41)+1)/DAY(F41)))</f>
        <v/>
      </c>
      <c r="H41" s="127"/>
      <c r="I41" s="128" t="str">
        <f>IF($B40="","",IF($B40+1&gt;'Qredits maandlasten'!$C$4,"",I40-J40))</f>
        <v/>
      </c>
      <c r="J41" s="128" t="str">
        <f>IF($B40="","",IF($B40+1&gt;'Qredits maandlasten'!$C$4,"",IF(B40&lt;'Qredits maandlasten'!$C$11-1,0,IF('Qredits maandlasten'!$C$10=dropdowns!$A$121,'Qredits maandlasten'!$J$3,IF('Qredits maandlasten'!$C$10=dropdowns!$A$120,IFERROR('Qredits maandlasten'!$J$3-K41,0),0)))))</f>
        <v/>
      </c>
      <c r="K41" s="128" t="str">
        <f>IF($B40="","",IF($B40+1&gt;'Qredits maandlasten'!$C$4,"",G41*I41*'Qredits maandlasten'!$C$8))</f>
        <v/>
      </c>
      <c r="L41" s="128" t="str">
        <f t="shared" si="2"/>
        <v/>
      </c>
      <c r="M41" s="128" t="str">
        <f t="shared" si="0"/>
        <v/>
      </c>
      <c r="N41" s="127"/>
      <c r="O41" s="129" t="str">
        <f>IF($B41="","",'Qredits maandlasten'!$C$8)</f>
        <v/>
      </c>
      <c r="P41" s="129" t="str">
        <f>IF($B41="","",'Qredits maandlasten'!$C$8*(POWER(1+'Qredits maandlasten'!$C$8,$B41-1+1)))</f>
        <v/>
      </c>
      <c r="Q41" s="129" t="str">
        <f t="shared" si="3"/>
        <v/>
      </c>
      <c r="R41" s="127"/>
      <c r="S41" s="128" t="str">
        <f t="shared" si="1"/>
        <v/>
      </c>
      <c r="T41" s="128" t="str">
        <f>IF(S41="","",J41/(POWER(1+'Qredits maandlasten'!$C$8,$B41-1+1)))</f>
        <v/>
      </c>
      <c r="U41" s="130" t="str">
        <f t="shared" si="4"/>
        <v/>
      </c>
      <c r="V41" s="128" t="str">
        <f>IF($B41="","",K41/(POWER(1+'Qredits maandlasten'!$C$8,$B41-1+1)))</f>
        <v/>
      </c>
      <c r="W41" s="127"/>
      <c r="X41" s="130"/>
      <c r="Y41" s="131"/>
    </row>
    <row r="42" spans="1:25" s="132" customFormat="1" x14ac:dyDescent="0.2">
      <c r="A42" s="123"/>
      <c r="B42" s="124" t="str">
        <f>IF($B41="","",IF($B41+1&gt;'Qredits maandlasten'!$C$4,"",Schema!B41+1))</f>
        <v/>
      </c>
      <c r="C42" s="125" t="str">
        <f>IF($B41="","",IF($B41+1&gt;'Qredits maandlasten'!$C$4,"",EOMONTH(C41,0)+1))</f>
        <v/>
      </c>
      <c r="D42" s="123"/>
      <c r="E42" s="125" t="str">
        <f>IF($B41="","",IF($B41+1&gt;'Qredits maandlasten'!$C$4,"",F41+1))</f>
        <v/>
      </c>
      <c r="F42" s="125" t="str">
        <f>IF($B41="","",IF($B41+1&gt;'Qredits maandlasten'!$C$4,"",EOMONTH(E42,0)))</f>
        <v/>
      </c>
      <c r="G42" s="126" t="str">
        <f>IF($B41="","",IF($B41+1&gt;'Qredits maandlasten'!$C$4,"",(_xlfn.DAYS(F42,E42)+1)/DAY(F42)))</f>
        <v/>
      </c>
      <c r="H42" s="127"/>
      <c r="I42" s="128" t="str">
        <f>IF($B41="","",IF($B41+1&gt;'Qredits maandlasten'!$C$4,"",I41-J41))</f>
        <v/>
      </c>
      <c r="J42" s="128" t="str">
        <f>IF($B41="","",IF($B41+1&gt;'Qredits maandlasten'!$C$4,"",IF(B41&lt;'Qredits maandlasten'!$C$11-1,0,IF('Qredits maandlasten'!$C$10=dropdowns!$A$121,'Qredits maandlasten'!$J$3,IF('Qredits maandlasten'!$C$10=dropdowns!$A$120,IFERROR('Qredits maandlasten'!$J$3-K42,0),0)))))</f>
        <v/>
      </c>
      <c r="K42" s="128" t="str">
        <f>IF($B41="","",IF($B41+1&gt;'Qredits maandlasten'!$C$4,"",G42*I42*'Qredits maandlasten'!$C$8))</f>
        <v/>
      </c>
      <c r="L42" s="128" t="str">
        <f t="shared" si="2"/>
        <v/>
      </c>
      <c r="M42" s="128" t="str">
        <f t="shared" si="0"/>
        <v/>
      </c>
      <c r="N42" s="127"/>
      <c r="O42" s="129" t="str">
        <f>IF($B42="","",'Qredits maandlasten'!$C$8)</f>
        <v/>
      </c>
      <c r="P42" s="129" t="str">
        <f>IF($B42="","",'Qredits maandlasten'!$C$8*(POWER(1+'Qredits maandlasten'!$C$8,$B42-1+1)))</f>
        <v/>
      </c>
      <c r="Q42" s="129" t="str">
        <f t="shared" si="3"/>
        <v/>
      </c>
      <c r="R42" s="127"/>
      <c r="S42" s="128" t="str">
        <f t="shared" si="1"/>
        <v/>
      </c>
      <c r="T42" s="128" t="str">
        <f>IF(S42="","",J42/(POWER(1+'Qredits maandlasten'!$C$8,$B42-1+1)))</f>
        <v/>
      </c>
      <c r="U42" s="130" t="str">
        <f t="shared" si="4"/>
        <v/>
      </c>
      <c r="V42" s="128" t="str">
        <f>IF($B42="","",K42/(POWER(1+'Qredits maandlasten'!$C$8,$B42-1+1)))</f>
        <v/>
      </c>
      <c r="W42" s="127"/>
      <c r="X42" s="130"/>
      <c r="Y42" s="131"/>
    </row>
    <row r="43" spans="1:25" s="132" customFormat="1" x14ac:dyDescent="0.2">
      <c r="A43" s="123"/>
      <c r="B43" s="124" t="str">
        <f>IF($B42="","",IF($B42+1&gt;'Qredits maandlasten'!$C$4,"",Schema!B42+1))</f>
        <v/>
      </c>
      <c r="C43" s="125" t="str">
        <f>IF($B42="","",IF($B42+1&gt;'Qredits maandlasten'!$C$4,"",EOMONTH(C42,0)+1))</f>
        <v/>
      </c>
      <c r="D43" s="123"/>
      <c r="E43" s="125" t="str">
        <f>IF($B42="","",IF($B42+1&gt;'Qredits maandlasten'!$C$4,"",F42+1))</f>
        <v/>
      </c>
      <c r="F43" s="125" t="str">
        <f>IF($B42="","",IF($B42+1&gt;'Qredits maandlasten'!$C$4,"",EOMONTH(E43,0)))</f>
        <v/>
      </c>
      <c r="G43" s="126" t="str">
        <f>IF($B42="","",IF($B42+1&gt;'Qredits maandlasten'!$C$4,"",(_xlfn.DAYS(F43,E43)+1)/DAY(F43)))</f>
        <v/>
      </c>
      <c r="H43" s="127"/>
      <c r="I43" s="128" t="str">
        <f>IF($B42="","",IF($B42+1&gt;'Qredits maandlasten'!$C$4,"",I42-J42))</f>
        <v/>
      </c>
      <c r="J43" s="128" t="str">
        <f>IF($B42="","",IF($B42+1&gt;'Qredits maandlasten'!$C$4,"",IF(B42&lt;'Qredits maandlasten'!$C$11-1,0,IF('Qredits maandlasten'!$C$10=dropdowns!$A$121,'Qredits maandlasten'!$J$3,IF('Qredits maandlasten'!$C$10=dropdowns!$A$120,IFERROR('Qredits maandlasten'!$J$3-K43,0),0)))))</f>
        <v/>
      </c>
      <c r="K43" s="128" t="str">
        <f>IF($B42="","",IF($B42+1&gt;'Qredits maandlasten'!$C$4,"",G43*I43*'Qredits maandlasten'!$C$8))</f>
        <v/>
      </c>
      <c r="L43" s="128" t="str">
        <f t="shared" si="2"/>
        <v/>
      </c>
      <c r="M43" s="128" t="str">
        <f t="shared" si="0"/>
        <v/>
      </c>
      <c r="N43" s="127"/>
      <c r="O43" s="129" t="str">
        <f>IF($B43="","",'Qredits maandlasten'!$C$8)</f>
        <v/>
      </c>
      <c r="P43" s="129" t="str">
        <f>IF($B43="","",'Qredits maandlasten'!$C$8*(POWER(1+'Qredits maandlasten'!$C$8,$B43-1+1)))</f>
        <v/>
      </c>
      <c r="Q43" s="129" t="str">
        <f t="shared" si="3"/>
        <v/>
      </c>
      <c r="R43" s="127"/>
      <c r="S43" s="128" t="str">
        <f t="shared" si="1"/>
        <v/>
      </c>
      <c r="T43" s="128" t="str">
        <f>IF(S43="","",J43/(POWER(1+'Qredits maandlasten'!$C$8,$B43-1+1)))</f>
        <v/>
      </c>
      <c r="U43" s="130" t="str">
        <f t="shared" si="4"/>
        <v/>
      </c>
      <c r="V43" s="128" t="str">
        <f>IF($B43="","",K43/(POWER(1+'Qredits maandlasten'!$C$8,$B43-1+1)))</f>
        <v/>
      </c>
      <c r="W43" s="127"/>
      <c r="X43" s="130"/>
      <c r="Y43" s="131"/>
    </row>
    <row r="44" spans="1:25" s="132" customFormat="1" x14ac:dyDescent="0.2">
      <c r="A44" s="123"/>
      <c r="B44" s="124" t="str">
        <f>IF($B43="","",IF($B43+1&gt;'Qredits maandlasten'!$C$4,"",Schema!B43+1))</f>
        <v/>
      </c>
      <c r="C44" s="125" t="str">
        <f>IF($B43="","",IF($B43+1&gt;'Qredits maandlasten'!$C$4,"",EOMONTH(C43,0)+1))</f>
        <v/>
      </c>
      <c r="D44" s="123"/>
      <c r="E44" s="125" t="str">
        <f>IF($B43="","",IF($B43+1&gt;'Qredits maandlasten'!$C$4,"",F43+1))</f>
        <v/>
      </c>
      <c r="F44" s="125" t="str">
        <f>IF($B43="","",IF($B43+1&gt;'Qredits maandlasten'!$C$4,"",EOMONTH(E44,0)))</f>
        <v/>
      </c>
      <c r="G44" s="126" t="str">
        <f>IF($B43="","",IF($B43+1&gt;'Qredits maandlasten'!$C$4,"",(_xlfn.DAYS(F44,E44)+1)/DAY(F44)))</f>
        <v/>
      </c>
      <c r="H44" s="127"/>
      <c r="I44" s="128" t="str">
        <f>IF($B43="","",IF($B43+1&gt;'Qredits maandlasten'!$C$4,"",I43-J43))</f>
        <v/>
      </c>
      <c r="J44" s="128" t="str">
        <f>IF($B43="","",IF($B43+1&gt;'Qredits maandlasten'!$C$4,"",IF(B43&lt;'Qredits maandlasten'!$C$11-1,0,IF('Qredits maandlasten'!$C$10=dropdowns!$A$121,'Qredits maandlasten'!$J$3,IF('Qredits maandlasten'!$C$10=dropdowns!$A$120,IFERROR('Qredits maandlasten'!$J$3-K44,0),0)))))</f>
        <v/>
      </c>
      <c r="K44" s="128" t="str">
        <f>IF($B43="","",IF($B43+1&gt;'Qredits maandlasten'!$C$4,"",G44*I44*'Qredits maandlasten'!$C$8))</f>
        <v/>
      </c>
      <c r="L44" s="128" t="str">
        <f t="shared" si="2"/>
        <v/>
      </c>
      <c r="M44" s="128" t="str">
        <f t="shared" si="0"/>
        <v/>
      </c>
      <c r="N44" s="127"/>
      <c r="O44" s="129" t="str">
        <f>IF($B44="","",'Qredits maandlasten'!$C$8)</f>
        <v/>
      </c>
      <c r="P44" s="129" t="str">
        <f>IF($B44="","",'Qredits maandlasten'!$C$8*(POWER(1+'Qredits maandlasten'!$C$8,$B44-1+1)))</f>
        <v/>
      </c>
      <c r="Q44" s="129" t="str">
        <f t="shared" si="3"/>
        <v/>
      </c>
      <c r="R44" s="127"/>
      <c r="S44" s="128" t="str">
        <f t="shared" si="1"/>
        <v/>
      </c>
      <c r="T44" s="128" t="str">
        <f>IF(S44="","",J44/(POWER(1+'Qredits maandlasten'!$C$8,$B44-1+1)))</f>
        <v/>
      </c>
      <c r="U44" s="130" t="str">
        <f t="shared" si="4"/>
        <v/>
      </c>
      <c r="V44" s="128" t="str">
        <f>IF($B44="","",K44/(POWER(1+'Qredits maandlasten'!$C$8,$B44-1+1)))</f>
        <v/>
      </c>
      <c r="W44" s="127"/>
      <c r="X44" s="130"/>
      <c r="Y44" s="131"/>
    </row>
    <row r="45" spans="1:25" s="132" customFormat="1" x14ac:dyDescent="0.2">
      <c r="A45" s="123"/>
      <c r="B45" s="124" t="str">
        <f>IF($B44="","",IF($B44+1&gt;'Qredits maandlasten'!$C$4,"",Schema!B44+1))</f>
        <v/>
      </c>
      <c r="C45" s="125" t="str">
        <f>IF($B44="","",IF($B44+1&gt;'Qredits maandlasten'!$C$4,"",EOMONTH(C44,0)+1))</f>
        <v/>
      </c>
      <c r="D45" s="123"/>
      <c r="E45" s="125" t="str">
        <f>IF($B44="","",IF($B44+1&gt;'Qredits maandlasten'!$C$4,"",F44+1))</f>
        <v/>
      </c>
      <c r="F45" s="125" t="str">
        <f>IF($B44="","",IF($B44+1&gt;'Qredits maandlasten'!$C$4,"",EOMONTH(E45,0)))</f>
        <v/>
      </c>
      <c r="G45" s="126" t="str">
        <f>IF($B44="","",IF($B44+1&gt;'Qredits maandlasten'!$C$4,"",(_xlfn.DAYS(F45,E45)+1)/DAY(F45)))</f>
        <v/>
      </c>
      <c r="H45" s="127"/>
      <c r="I45" s="128" t="str">
        <f>IF($B44="","",IF($B44+1&gt;'Qredits maandlasten'!$C$4,"",I44-J44))</f>
        <v/>
      </c>
      <c r="J45" s="128" t="str">
        <f>IF($B44="","",IF($B44+1&gt;'Qredits maandlasten'!$C$4,"",IF(B44&lt;'Qredits maandlasten'!$C$11-1,0,IF('Qredits maandlasten'!$C$10=dropdowns!$A$121,'Qredits maandlasten'!$J$3,IF('Qredits maandlasten'!$C$10=dropdowns!$A$120,IFERROR('Qredits maandlasten'!$J$3-K45,0),0)))))</f>
        <v/>
      </c>
      <c r="K45" s="128" t="str">
        <f>IF($B44="","",IF($B44+1&gt;'Qredits maandlasten'!$C$4,"",G45*I45*'Qredits maandlasten'!$C$8))</f>
        <v/>
      </c>
      <c r="L45" s="128" t="str">
        <f t="shared" si="2"/>
        <v/>
      </c>
      <c r="M45" s="128" t="str">
        <f t="shared" si="0"/>
        <v/>
      </c>
      <c r="N45" s="127"/>
      <c r="O45" s="129" t="str">
        <f>IF($B45="","",'Qredits maandlasten'!$C$8)</f>
        <v/>
      </c>
      <c r="P45" s="129" t="str">
        <f>IF($B45="","",'Qredits maandlasten'!$C$8*(POWER(1+'Qredits maandlasten'!$C$8,$B45-1+1)))</f>
        <v/>
      </c>
      <c r="Q45" s="129" t="str">
        <f t="shared" si="3"/>
        <v/>
      </c>
      <c r="R45" s="127"/>
      <c r="S45" s="128" t="str">
        <f t="shared" si="1"/>
        <v/>
      </c>
      <c r="T45" s="128" t="str">
        <f>IF(S45="","",J45/(POWER(1+'Qredits maandlasten'!$C$8,$B45-1+1)))</f>
        <v/>
      </c>
      <c r="U45" s="130" t="str">
        <f t="shared" si="4"/>
        <v/>
      </c>
      <c r="V45" s="128" t="str">
        <f>IF($B45="","",K45/(POWER(1+'Qredits maandlasten'!$C$8,$B45-1+1)))</f>
        <v/>
      </c>
      <c r="W45" s="127"/>
      <c r="X45" s="130"/>
      <c r="Y45" s="131"/>
    </row>
    <row r="46" spans="1:25" s="132" customFormat="1" x14ac:dyDescent="0.2">
      <c r="A46" s="123"/>
      <c r="B46" s="124" t="str">
        <f>IF($B45="","",IF($B45+1&gt;'Qredits maandlasten'!$C$4,"",Schema!B45+1))</f>
        <v/>
      </c>
      <c r="C46" s="125" t="str">
        <f>IF($B45="","",IF($B45+1&gt;'Qredits maandlasten'!$C$4,"",EOMONTH(C45,0)+1))</f>
        <v/>
      </c>
      <c r="D46" s="123"/>
      <c r="E46" s="125" t="str">
        <f>IF($B45="","",IF($B45+1&gt;'Qredits maandlasten'!$C$4,"",F45+1))</f>
        <v/>
      </c>
      <c r="F46" s="125" t="str">
        <f>IF($B45="","",IF($B45+1&gt;'Qredits maandlasten'!$C$4,"",EOMONTH(E46,0)))</f>
        <v/>
      </c>
      <c r="G46" s="126" t="str">
        <f>IF($B45="","",IF($B45+1&gt;'Qredits maandlasten'!$C$4,"",(_xlfn.DAYS(F46,E46)+1)/DAY(F46)))</f>
        <v/>
      </c>
      <c r="H46" s="127"/>
      <c r="I46" s="128" t="str">
        <f>IF($B45="","",IF($B45+1&gt;'Qredits maandlasten'!$C$4,"",I45-J45))</f>
        <v/>
      </c>
      <c r="J46" s="128" t="str">
        <f>IF($B45="","",IF($B45+1&gt;'Qredits maandlasten'!$C$4,"",IF(B45&lt;'Qredits maandlasten'!$C$11-1,0,IF('Qredits maandlasten'!$C$10=dropdowns!$A$121,'Qredits maandlasten'!$J$3,IF('Qredits maandlasten'!$C$10=dropdowns!$A$120,IFERROR('Qredits maandlasten'!$J$3-K46,0),0)))))</f>
        <v/>
      </c>
      <c r="K46" s="128" t="str">
        <f>IF($B45="","",IF($B45+1&gt;'Qredits maandlasten'!$C$4,"",G46*I46*'Qredits maandlasten'!$C$8))</f>
        <v/>
      </c>
      <c r="L46" s="128" t="str">
        <f t="shared" si="2"/>
        <v/>
      </c>
      <c r="M46" s="128" t="str">
        <f t="shared" si="0"/>
        <v/>
      </c>
      <c r="N46" s="127"/>
      <c r="O46" s="129" t="str">
        <f>IF($B46="","",'Qredits maandlasten'!$C$8)</f>
        <v/>
      </c>
      <c r="P46" s="129" t="str">
        <f>IF($B46="","",'Qredits maandlasten'!$C$8*(POWER(1+'Qredits maandlasten'!$C$8,$B46-1+1)))</f>
        <v/>
      </c>
      <c r="Q46" s="129" t="str">
        <f t="shared" si="3"/>
        <v/>
      </c>
      <c r="R46" s="127"/>
      <c r="S46" s="128" t="str">
        <f t="shared" si="1"/>
        <v/>
      </c>
      <c r="T46" s="128" t="str">
        <f>IF(S46="","",J46/(POWER(1+'Qredits maandlasten'!$C$8,$B46-1+1)))</f>
        <v/>
      </c>
      <c r="U46" s="130" t="str">
        <f t="shared" si="4"/>
        <v/>
      </c>
      <c r="V46" s="128" t="str">
        <f>IF($B46="","",K46/(POWER(1+'Qredits maandlasten'!$C$8,$B46-1+1)))</f>
        <v/>
      </c>
      <c r="W46" s="127"/>
      <c r="X46" s="130"/>
      <c r="Y46" s="131"/>
    </row>
    <row r="47" spans="1:25" s="132" customFormat="1" x14ac:dyDescent="0.2">
      <c r="A47" s="123"/>
      <c r="B47" s="124" t="str">
        <f>IF($B46="","",IF($B46+1&gt;'Qredits maandlasten'!$C$4,"",Schema!B46+1))</f>
        <v/>
      </c>
      <c r="C47" s="125" t="str">
        <f>IF($B46="","",IF($B46+1&gt;'Qredits maandlasten'!$C$4,"",EOMONTH(C46,0)+1))</f>
        <v/>
      </c>
      <c r="D47" s="123"/>
      <c r="E47" s="125" t="str">
        <f>IF($B46="","",IF($B46+1&gt;'Qredits maandlasten'!$C$4,"",F46+1))</f>
        <v/>
      </c>
      <c r="F47" s="125" t="str">
        <f>IF($B46="","",IF($B46+1&gt;'Qredits maandlasten'!$C$4,"",EOMONTH(E47,0)))</f>
        <v/>
      </c>
      <c r="G47" s="126" t="str">
        <f>IF($B46="","",IF($B46+1&gt;'Qredits maandlasten'!$C$4,"",(_xlfn.DAYS(F47,E47)+1)/DAY(F47)))</f>
        <v/>
      </c>
      <c r="H47" s="127"/>
      <c r="I47" s="128" t="str">
        <f>IF($B46="","",IF($B46+1&gt;'Qredits maandlasten'!$C$4,"",I46-J46))</f>
        <v/>
      </c>
      <c r="J47" s="128" t="str">
        <f>IF($B46="","",IF($B46+1&gt;'Qredits maandlasten'!$C$4,"",IF(B46&lt;'Qredits maandlasten'!$C$11-1,0,IF('Qredits maandlasten'!$C$10=dropdowns!$A$121,'Qredits maandlasten'!$J$3,IF('Qredits maandlasten'!$C$10=dropdowns!$A$120,IFERROR('Qredits maandlasten'!$J$3-K47,0),0)))))</f>
        <v/>
      </c>
      <c r="K47" s="128" t="str">
        <f>IF($B46="","",IF($B46+1&gt;'Qredits maandlasten'!$C$4,"",G47*I47*'Qredits maandlasten'!$C$8))</f>
        <v/>
      </c>
      <c r="L47" s="128" t="str">
        <f t="shared" si="2"/>
        <v/>
      </c>
      <c r="M47" s="128" t="str">
        <f t="shared" si="0"/>
        <v/>
      </c>
      <c r="N47" s="127"/>
      <c r="O47" s="129" t="str">
        <f>IF($B47="","",'Qredits maandlasten'!$C$8)</f>
        <v/>
      </c>
      <c r="P47" s="129" t="str">
        <f>IF($B47="","",'Qredits maandlasten'!$C$8*(POWER(1+'Qredits maandlasten'!$C$8,$B47-1+1)))</f>
        <v/>
      </c>
      <c r="Q47" s="129" t="str">
        <f t="shared" si="3"/>
        <v/>
      </c>
      <c r="R47" s="127"/>
      <c r="S47" s="128" t="str">
        <f t="shared" si="1"/>
        <v/>
      </c>
      <c r="T47" s="128" t="str">
        <f>IF(S47="","",J47/(POWER(1+'Qredits maandlasten'!$C$8,$B47-1+1)))</f>
        <v/>
      </c>
      <c r="U47" s="130" t="str">
        <f t="shared" si="4"/>
        <v/>
      </c>
      <c r="V47" s="128" t="str">
        <f>IF($B47="","",K47/(POWER(1+'Qredits maandlasten'!$C$8,$B47-1+1)))</f>
        <v/>
      </c>
      <c r="W47" s="127"/>
      <c r="X47" s="130"/>
      <c r="Y47" s="131"/>
    </row>
    <row r="48" spans="1:25" s="132" customFormat="1" x14ac:dyDescent="0.2">
      <c r="A48" s="123"/>
      <c r="B48" s="124" t="str">
        <f>IF($B47="","",IF($B47+1&gt;'Qredits maandlasten'!$C$4,"",Schema!B47+1))</f>
        <v/>
      </c>
      <c r="C48" s="125" t="str">
        <f>IF($B47="","",IF($B47+1&gt;'Qredits maandlasten'!$C$4,"",EOMONTH(C47,0)+1))</f>
        <v/>
      </c>
      <c r="D48" s="123"/>
      <c r="E48" s="125" t="str">
        <f>IF($B47="","",IF($B47+1&gt;'Qredits maandlasten'!$C$4,"",F47+1))</f>
        <v/>
      </c>
      <c r="F48" s="125" t="str">
        <f>IF($B47="","",IF($B47+1&gt;'Qredits maandlasten'!$C$4,"",EOMONTH(E48,0)))</f>
        <v/>
      </c>
      <c r="G48" s="126" t="str">
        <f>IF($B47="","",IF($B47+1&gt;'Qredits maandlasten'!$C$4,"",(_xlfn.DAYS(F48,E48)+1)/DAY(F48)))</f>
        <v/>
      </c>
      <c r="H48" s="127"/>
      <c r="I48" s="128" t="str">
        <f>IF($B47="","",IF($B47+1&gt;'Qredits maandlasten'!$C$4,"",I47-J47))</f>
        <v/>
      </c>
      <c r="J48" s="128" t="str">
        <f>IF($B47="","",IF($B47+1&gt;'Qredits maandlasten'!$C$4,"",IF(B47&lt;'Qredits maandlasten'!$C$11-1,0,IF('Qredits maandlasten'!$C$10=dropdowns!$A$121,'Qredits maandlasten'!$J$3,IF('Qredits maandlasten'!$C$10=dropdowns!$A$120,IFERROR('Qredits maandlasten'!$J$3-K48,0),0)))))</f>
        <v/>
      </c>
      <c r="K48" s="128" t="str">
        <f>IF($B47="","",IF($B47+1&gt;'Qredits maandlasten'!$C$4,"",G48*I48*'Qredits maandlasten'!$C$8))</f>
        <v/>
      </c>
      <c r="L48" s="128" t="str">
        <f t="shared" si="2"/>
        <v/>
      </c>
      <c r="M48" s="128" t="str">
        <f t="shared" si="0"/>
        <v/>
      </c>
      <c r="N48" s="127"/>
      <c r="O48" s="129" t="str">
        <f>IF($B48="","",'Qredits maandlasten'!$C$8)</f>
        <v/>
      </c>
      <c r="P48" s="129" t="str">
        <f>IF($B48="","",'Qredits maandlasten'!$C$8*(POWER(1+'Qredits maandlasten'!$C$8,$B48-1+1)))</f>
        <v/>
      </c>
      <c r="Q48" s="129" t="str">
        <f t="shared" si="3"/>
        <v/>
      </c>
      <c r="R48" s="127"/>
      <c r="S48" s="128" t="str">
        <f t="shared" si="1"/>
        <v/>
      </c>
      <c r="T48" s="128" t="str">
        <f>IF(S48="","",J48/(POWER(1+'Qredits maandlasten'!$C$8,$B48-1+1)))</f>
        <v/>
      </c>
      <c r="U48" s="130" t="str">
        <f t="shared" si="4"/>
        <v/>
      </c>
      <c r="V48" s="128" t="str">
        <f>IF($B48="","",K48/(POWER(1+'Qredits maandlasten'!$C$8,$B48-1+1)))</f>
        <v/>
      </c>
      <c r="W48" s="127"/>
      <c r="X48" s="130"/>
      <c r="Y48" s="131"/>
    </row>
    <row r="49" spans="1:25" s="132" customFormat="1" x14ac:dyDescent="0.2">
      <c r="A49" s="123"/>
      <c r="B49" s="124" t="str">
        <f>IF($B48="","",IF($B48+1&gt;'Qredits maandlasten'!$C$4,"",Schema!B48+1))</f>
        <v/>
      </c>
      <c r="C49" s="125" t="str">
        <f>IF($B48="","",IF($B48+1&gt;'Qredits maandlasten'!$C$4,"",EOMONTH(C48,0)+1))</f>
        <v/>
      </c>
      <c r="D49" s="123"/>
      <c r="E49" s="125" t="str">
        <f>IF($B48="","",IF($B48+1&gt;'Qredits maandlasten'!$C$4,"",F48+1))</f>
        <v/>
      </c>
      <c r="F49" s="125" t="str">
        <f>IF($B48="","",IF($B48+1&gt;'Qredits maandlasten'!$C$4,"",EOMONTH(E49,0)))</f>
        <v/>
      </c>
      <c r="G49" s="126" t="str">
        <f>IF($B48="","",IF($B48+1&gt;'Qredits maandlasten'!$C$4,"",(_xlfn.DAYS(F49,E49)+1)/DAY(F49)))</f>
        <v/>
      </c>
      <c r="H49" s="127"/>
      <c r="I49" s="128" t="str">
        <f>IF($B48="","",IF($B48+1&gt;'Qredits maandlasten'!$C$4,"",I48-J48))</f>
        <v/>
      </c>
      <c r="J49" s="128" t="str">
        <f>IF($B48="","",IF($B48+1&gt;'Qredits maandlasten'!$C$4,"",IF(B48&lt;'Qredits maandlasten'!$C$11-1,0,IF('Qredits maandlasten'!$C$10=dropdowns!$A$121,'Qredits maandlasten'!$J$3,IF('Qredits maandlasten'!$C$10=dropdowns!$A$120,IFERROR('Qredits maandlasten'!$J$3-K49,0),0)))))</f>
        <v/>
      </c>
      <c r="K49" s="128" t="str">
        <f>IF($B48="","",IF($B48+1&gt;'Qredits maandlasten'!$C$4,"",G49*I49*'Qredits maandlasten'!$C$8))</f>
        <v/>
      </c>
      <c r="L49" s="128" t="str">
        <f t="shared" si="2"/>
        <v/>
      </c>
      <c r="M49" s="128" t="str">
        <f t="shared" si="0"/>
        <v/>
      </c>
      <c r="N49" s="127"/>
      <c r="O49" s="129" t="str">
        <f>IF($B49="","",'Qredits maandlasten'!$C$8)</f>
        <v/>
      </c>
      <c r="P49" s="129" t="str">
        <f>IF($B49="","",'Qredits maandlasten'!$C$8*(POWER(1+'Qredits maandlasten'!$C$8,$B49-1+1)))</f>
        <v/>
      </c>
      <c r="Q49" s="129" t="str">
        <f t="shared" si="3"/>
        <v/>
      </c>
      <c r="R49" s="127"/>
      <c r="S49" s="128" t="str">
        <f t="shared" si="1"/>
        <v/>
      </c>
      <c r="T49" s="128" t="str">
        <f>IF(S49="","",J49/(POWER(1+'Qredits maandlasten'!$C$8,$B49-1+1)))</f>
        <v/>
      </c>
      <c r="U49" s="130" t="str">
        <f t="shared" si="4"/>
        <v/>
      </c>
      <c r="V49" s="128" t="str">
        <f>IF($B49="","",K49/(POWER(1+'Qredits maandlasten'!$C$8,$B49-1+1)))</f>
        <v/>
      </c>
      <c r="W49" s="127"/>
      <c r="X49" s="130"/>
      <c r="Y49" s="131"/>
    </row>
    <row r="50" spans="1:25" s="132" customFormat="1" x14ac:dyDescent="0.2">
      <c r="A50" s="123"/>
      <c r="B50" s="124" t="str">
        <f>IF($B49="","",IF($B49+1&gt;'Qredits maandlasten'!$C$4,"",Schema!B49+1))</f>
        <v/>
      </c>
      <c r="C50" s="125" t="str">
        <f>IF($B49="","",IF($B49+1&gt;'Qredits maandlasten'!$C$4,"",EOMONTH(C49,0)+1))</f>
        <v/>
      </c>
      <c r="D50" s="123"/>
      <c r="E50" s="125" t="str">
        <f>IF($B49="","",IF($B49+1&gt;'Qredits maandlasten'!$C$4,"",F49+1))</f>
        <v/>
      </c>
      <c r="F50" s="125" t="str">
        <f>IF($B49="","",IF($B49+1&gt;'Qredits maandlasten'!$C$4,"",EOMONTH(E50,0)))</f>
        <v/>
      </c>
      <c r="G50" s="126" t="str">
        <f>IF($B49="","",IF($B49+1&gt;'Qredits maandlasten'!$C$4,"",(_xlfn.DAYS(F50,E50)+1)/DAY(F50)))</f>
        <v/>
      </c>
      <c r="H50" s="127"/>
      <c r="I50" s="128" t="str">
        <f>IF($B49="","",IF($B49+1&gt;'Qredits maandlasten'!$C$4,"",I49-J49))</f>
        <v/>
      </c>
      <c r="J50" s="128" t="str">
        <f>IF($B49="","",IF($B49+1&gt;'Qredits maandlasten'!$C$4,"",IF(B49&lt;'Qredits maandlasten'!$C$11-1,0,IF('Qredits maandlasten'!$C$10=dropdowns!$A$121,'Qredits maandlasten'!$J$3,IF('Qredits maandlasten'!$C$10=dropdowns!$A$120,IFERROR('Qredits maandlasten'!$J$3-K50,0),0)))))</f>
        <v/>
      </c>
      <c r="K50" s="128" t="str">
        <f>IF($B49="","",IF($B49+1&gt;'Qredits maandlasten'!$C$4,"",G50*I50*'Qredits maandlasten'!$C$8))</f>
        <v/>
      </c>
      <c r="L50" s="128" t="str">
        <f t="shared" si="2"/>
        <v/>
      </c>
      <c r="M50" s="128" t="str">
        <f t="shared" si="0"/>
        <v/>
      </c>
      <c r="N50" s="127"/>
      <c r="O50" s="129" t="str">
        <f>IF($B50="","",'Qredits maandlasten'!$C$8)</f>
        <v/>
      </c>
      <c r="P50" s="129" t="str">
        <f>IF($B50="","",'Qredits maandlasten'!$C$8*(POWER(1+'Qredits maandlasten'!$C$8,$B50-1+1)))</f>
        <v/>
      </c>
      <c r="Q50" s="129" t="str">
        <f t="shared" si="3"/>
        <v/>
      </c>
      <c r="R50" s="127"/>
      <c r="S50" s="128" t="str">
        <f t="shared" si="1"/>
        <v/>
      </c>
      <c r="T50" s="128" t="str">
        <f>IF(S50="","",J50/(POWER(1+'Qredits maandlasten'!$C$8,$B50-1+1)))</f>
        <v/>
      </c>
      <c r="U50" s="130" t="str">
        <f t="shared" si="4"/>
        <v/>
      </c>
      <c r="V50" s="128" t="str">
        <f>IF($B50="","",K50/(POWER(1+'Qredits maandlasten'!$C$8,$B50-1+1)))</f>
        <v/>
      </c>
      <c r="W50" s="127"/>
      <c r="X50" s="130"/>
      <c r="Y50" s="131"/>
    </row>
    <row r="51" spans="1:25" s="132" customFormat="1" x14ac:dyDescent="0.2">
      <c r="A51" s="123"/>
      <c r="B51" s="124" t="str">
        <f>IF($B50="","",IF($B50+1&gt;'Qredits maandlasten'!$C$4,"",Schema!B50+1))</f>
        <v/>
      </c>
      <c r="C51" s="125" t="str">
        <f>IF($B50="","",IF($B50+1&gt;'Qredits maandlasten'!$C$4,"",EOMONTH(C50,0)+1))</f>
        <v/>
      </c>
      <c r="D51" s="123"/>
      <c r="E51" s="125" t="str">
        <f>IF($B50="","",IF($B50+1&gt;'Qredits maandlasten'!$C$4,"",F50+1))</f>
        <v/>
      </c>
      <c r="F51" s="125" t="str">
        <f>IF($B50="","",IF($B50+1&gt;'Qredits maandlasten'!$C$4,"",EOMONTH(E51,0)))</f>
        <v/>
      </c>
      <c r="G51" s="126" t="str">
        <f>IF($B50="","",IF($B50+1&gt;'Qredits maandlasten'!$C$4,"",(_xlfn.DAYS(F51,E51)+1)/DAY(F51)))</f>
        <v/>
      </c>
      <c r="H51" s="127"/>
      <c r="I51" s="128" t="str">
        <f>IF($B50="","",IF($B50+1&gt;'Qredits maandlasten'!$C$4,"",I50-J50))</f>
        <v/>
      </c>
      <c r="J51" s="128" t="str">
        <f>IF($B50="","",IF($B50+1&gt;'Qredits maandlasten'!$C$4,"",IF(B50&lt;'Qredits maandlasten'!$C$11-1,0,IF('Qredits maandlasten'!$C$10=dropdowns!$A$121,'Qredits maandlasten'!$J$3,IF('Qredits maandlasten'!$C$10=dropdowns!$A$120,IFERROR('Qredits maandlasten'!$J$3-K51,0),0)))))</f>
        <v/>
      </c>
      <c r="K51" s="128" t="str">
        <f>IF($B50="","",IF($B50+1&gt;'Qredits maandlasten'!$C$4,"",G51*I51*'Qredits maandlasten'!$C$8))</f>
        <v/>
      </c>
      <c r="L51" s="128" t="str">
        <f t="shared" si="2"/>
        <v/>
      </c>
      <c r="M51" s="128" t="str">
        <f t="shared" si="0"/>
        <v/>
      </c>
      <c r="N51" s="127"/>
      <c r="O51" s="129" t="str">
        <f>IF($B51="","",'Qredits maandlasten'!$C$8)</f>
        <v/>
      </c>
      <c r="P51" s="129" t="str">
        <f>IF($B51="","",'Qredits maandlasten'!$C$8*(POWER(1+'Qredits maandlasten'!$C$8,$B51-1+1)))</f>
        <v/>
      </c>
      <c r="Q51" s="129" t="str">
        <f t="shared" si="3"/>
        <v/>
      </c>
      <c r="R51" s="127"/>
      <c r="S51" s="128" t="str">
        <f t="shared" si="1"/>
        <v/>
      </c>
      <c r="T51" s="128" t="str">
        <f>IF(S51="","",J51/(POWER(1+'Qredits maandlasten'!$C$8,$B51-1+1)))</f>
        <v/>
      </c>
      <c r="U51" s="130" t="str">
        <f t="shared" si="4"/>
        <v/>
      </c>
      <c r="V51" s="128" t="str">
        <f>IF($B51="","",K51/(POWER(1+'Qredits maandlasten'!$C$8,$B51-1+1)))</f>
        <v/>
      </c>
      <c r="W51" s="127"/>
      <c r="X51" s="130"/>
      <c r="Y51" s="131"/>
    </row>
    <row r="52" spans="1:25" s="132" customFormat="1" x14ac:dyDescent="0.2">
      <c r="A52" s="123"/>
      <c r="B52" s="124" t="str">
        <f>IF($B51="","",IF($B51+1&gt;'Qredits maandlasten'!$C$4,"",Schema!B51+1))</f>
        <v/>
      </c>
      <c r="C52" s="125" t="str">
        <f>IF($B51="","",IF($B51+1&gt;'Qredits maandlasten'!$C$4,"",EOMONTH(C51,0)+1))</f>
        <v/>
      </c>
      <c r="D52" s="123"/>
      <c r="E52" s="125" t="str">
        <f>IF($B51="","",IF($B51+1&gt;'Qredits maandlasten'!$C$4,"",F51+1))</f>
        <v/>
      </c>
      <c r="F52" s="125" t="str">
        <f>IF($B51="","",IF($B51+1&gt;'Qredits maandlasten'!$C$4,"",EOMONTH(E52,0)))</f>
        <v/>
      </c>
      <c r="G52" s="126" t="str">
        <f>IF($B51="","",IF($B51+1&gt;'Qredits maandlasten'!$C$4,"",(_xlfn.DAYS(F52,E52)+1)/DAY(F52)))</f>
        <v/>
      </c>
      <c r="H52" s="127"/>
      <c r="I52" s="128" t="str">
        <f>IF($B51="","",IF($B51+1&gt;'Qredits maandlasten'!$C$4,"",I51-J51))</f>
        <v/>
      </c>
      <c r="J52" s="128" t="str">
        <f>IF($B51="","",IF($B51+1&gt;'Qredits maandlasten'!$C$4,"",IF(B51&lt;'Qredits maandlasten'!$C$11-1,0,IF('Qredits maandlasten'!$C$10=dropdowns!$A$121,'Qredits maandlasten'!$J$3,IF('Qredits maandlasten'!$C$10=dropdowns!$A$120,IFERROR('Qredits maandlasten'!$J$3-K52,0),0)))))</f>
        <v/>
      </c>
      <c r="K52" s="128" t="str">
        <f>IF($B51="","",IF($B51+1&gt;'Qredits maandlasten'!$C$4,"",G52*I52*'Qredits maandlasten'!$C$8))</f>
        <v/>
      </c>
      <c r="L52" s="128" t="str">
        <f t="shared" si="2"/>
        <v/>
      </c>
      <c r="M52" s="128" t="str">
        <f t="shared" si="0"/>
        <v/>
      </c>
      <c r="N52" s="127"/>
      <c r="O52" s="129" t="str">
        <f>IF($B52="","",'Qredits maandlasten'!$C$8)</f>
        <v/>
      </c>
      <c r="P52" s="129" t="str">
        <f>IF($B52="","",'Qredits maandlasten'!$C$8*(POWER(1+'Qredits maandlasten'!$C$8,$B52-1+1)))</f>
        <v/>
      </c>
      <c r="Q52" s="129" t="str">
        <f t="shared" si="3"/>
        <v/>
      </c>
      <c r="R52" s="127"/>
      <c r="S52" s="128" t="str">
        <f t="shared" si="1"/>
        <v/>
      </c>
      <c r="T52" s="128" t="str">
        <f>IF(S52="","",J52/(POWER(1+'Qredits maandlasten'!$C$8,$B52-1+1)))</f>
        <v/>
      </c>
      <c r="U52" s="130" t="str">
        <f t="shared" si="4"/>
        <v/>
      </c>
      <c r="V52" s="128" t="str">
        <f>IF($B52="","",K52/(POWER(1+'Qredits maandlasten'!$C$8,$B52-1+1)))</f>
        <v/>
      </c>
      <c r="W52" s="127"/>
      <c r="X52" s="130"/>
      <c r="Y52" s="131"/>
    </row>
    <row r="53" spans="1:25" s="132" customFormat="1" x14ac:dyDescent="0.2">
      <c r="A53" s="123"/>
      <c r="B53" s="124" t="str">
        <f>IF($B52="","",IF($B52+1&gt;'Qredits maandlasten'!$C$4,"",Schema!B52+1))</f>
        <v/>
      </c>
      <c r="C53" s="125" t="str">
        <f>IF($B52="","",IF($B52+1&gt;'Qredits maandlasten'!$C$4,"",EOMONTH(C52,0)+1))</f>
        <v/>
      </c>
      <c r="D53" s="123"/>
      <c r="E53" s="125" t="str">
        <f>IF($B52="","",IF($B52+1&gt;'Qredits maandlasten'!$C$4,"",F52+1))</f>
        <v/>
      </c>
      <c r="F53" s="125" t="str">
        <f>IF($B52="","",IF($B52+1&gt;'Qredits maandlasten'!$C$4,"",EOMONTH(E53,0)))</f>
        <v/>
      </c>
      <c r="G53" s="126" t="str">
        <f>IF($B52="","",IF($B52+1&gt;'Qredits maandlasten'!$C$4,"",(_xlfn.DAYS(F53,E53)+1)/DAY(F53)))</f>
        <v/>
      </c>
      <c r="H53" s="127"/>
      <c r="I53" s="128" t="str">
        <f>IF($B52="","",IF($B52+1&gt;'Qredits maandlasten'!$C$4,"",I52-J52))</f>
        <v/>
      </c>
      <c r="J53" s="128" t="str">
        <f>IF($B52="","",IF($B52+1&gt;'Qredits maandlasten'!$C$4,"",IF(B52&lt;'Qredits maandlasten'!$C$11-1,0,IF('Qredits maandlasten'!$C$10=dropdowns!$A$121,'Qredits maandlasten'!$J$3,IF('Qredits maandlasten'!$C$10=dropdowns!$A$120,IFERROR('Qredits maandlasten'!$J$3-K53,0),0)))))</f>
        <v/>
      </c>
      <c r="K53" s="128" t="str">
        <f>IF($B52="","",IF($B52+1&gt;'Qredits maandlasten'!$C$4,"",G53*I53*'Qredits maandlasten'!$C$8))</f>
        <v/>
      </c>
      <c r="L53" s="128" t="str">
        <f t="shared" si="2"/>
        <v/>
      </c>
      <c r="M53" s="128" t="str">
        <f t="shared" si="0"/>
        <v/>
      </c>
      <c r="N53" s="127"/>
      <c r="O53" s="129" t="str">
        <f>IF($B53="","",'Qredits maandlasten'!$C$8)</f>
        <v/>
      </c>
      <c r="P53" s="129" t="str">
        <f>IF($B53="","",'Qredits maandlasten'!$C$8*(POWER(1+'Qredits maandlasten'!$C$8,$B53-1+1)))</f>
        <v/>
      </c>
      <c r="Q53" s="129" t="str">
        <f t="shared" si="3"/>
        <v/>
      </c>
      <c r="R53" s="127"/>
      <c r="S53" s="128" t="str">
        <f t="shared" si="1"/>
        <v/>
      </c>
      <c r="T53" s="128" t="str">
        <f>IF(S53="","",J53/(POWER(1+'Qredits maandlasten'!$C$8,$B53-1+1)))</f>
        <v/>
      </c>
      <c r="U53" s="130" t="str">
        <f t="shared" si="4"/>
        <v/>
      </c>
      <c r="V53" s="128" t="str">
        <f>IF($B53="","",K53/(POWER(1+'Qredits maandlasten'!$C$8,$B53-1+1)))</f>
        <v/>
      </c>
      <c r="W53" s="127"/>
      <c r="X53" s="130"/>
      <c r="Y53" s="131"/>
    </row>
    <row r="54" spans="1:25" s="132" customFormat="1" x14ac:dyDescent="0.2">
      <c r="A54" s="123"/>
      <c r="B54" s="124" t="str">
        <f>IF($B53="","",IF($B53+1&gt;'Qredits maandlasten'!$C$4,"",Schema!B53+1))</f>
        <v/>
      </c>
      <c r="C54" s="125" t="str">
        <f>IF($B53="","",IF($B53+1&gt;'Qredits maandlasten'!$C$4,"",EOMONTH(C53,0)+1))</f>
        <v/>
      </c>
      <c r="D54" s="123"/>
      <c r="E54" s="125" t="str">
        <f>IF($B53="","",IF($B53+1&gt;'Qredits maandlasten'!$C$4,"",F53+1))</f>
        <v/>
      </c>
      <c r="F54" s="125" t="str">
        <f>IF($B53="","",IF($B53+1&gt;'Qredits maandlasten'!$C$4,"",EOMONTH(E54,0)))</f>
        <v/>
      </c>
      <c r="G54" s="126" t="str">
        <f>IF($B53="","",IF($B53+1&gt;'Qredits maandlasten'!$C$4,"",(_xlfn.DAYS(F54,E54)+1)/DAY(F54)))</f>
        <v/>
      </c>
      <c r="H54" s="127"/>
      <c r="I54" s="128" t="str">
        <f>IF($B53="","",IF($B53+1&gt;'Qredits maandlasten'!$C$4,"",I53-J53))</f>
        <v/>
      </c>
      <c r="J54" s="128" t="str">
        <f>IF($B53="","",IF($B53+1&gt;'Qredits maandlasten'!$C$4,"",IF(B53&lt;'Qredits maandlasten'!$C$11-1,0,IF('Qredits maandlasten'!$C$10=dropdowns!$A$121,'Qredits maandlasten'!$J$3,IF('Qredits maandlasten'!$C$10=dropdowns!$A$120,IFERROR('Qredits maandlasten'!$J$3-K54,0),0)))))</f>
        <v/>
      </c>
      <c r="K54" s="128" t="str">
        <f>IF($B53="","",IF($B53+1&gt;'Qredits maandlasten'!$C$4,"",G54*I54*'Qredits maandlasten'!$C$8))</f>
        <v/>
      </c>
      <c r="L54" s="128" t="str">
        <f t="shared" si="2"/>
        <v/>
      </c>
      <c r="M54" s="128" t="str">
        <f t="shared" si="0"/>
        <v/>
      </c>
      <c r="N54" s="127"/>
      <c r="O54" s="129" t="str">
        <f>IF($B54="","",'Qredits maandlasten'!$C$8)</f>
        <v/>
      </c>
      <c r="P54" s="129" t="str">
        <f>IF($B54="","",'Qredits maandlasten'!$C$8*(POWER(1+'Qredits maandlasten'!$C$8,$B54-1+1)))</f>
        <v/>
      </c>
      <c r="Q54" s="129" t="str">
        <f t="shared" si="3"/>
        <v/>
      </c>
      <c r="R54" s="127"/>
      <c r="S54" s="128" t="str">
        <f t="shared" si="1"/>
        <v/>
      </c>
      <c r="T54" s="128" t="str">
        <f>IF(S54="","",J54/(POWER(1+'Qredits maandlasten'!$C$8,$B54-1+1)))</f>
        <v/>
      </c>
      <c r="U54" s="130" t="str">
        <f t="shared" si="4"/>
        <v/>
      </c>
      <c r="V54" s="128" t="str">
        <f>IF($B54="","",K54/(POWER(1+'Qredits maandlasten'!$C$8,$B54-1+1)))</f>
        <v/>
      </c>
      <c r="W54" s="127"/>
      <c r="X54" s="130"/>
      <c r="Y54" s="131"/>
    </row>
    <row r="55" spans="1:25" s="132" customFormat="1" x14ac:dyDescent="0.2">
      <c r="A55" s="123"/>
      <c r="B55" s="124" t="str">
        <f>IF($B54="","",IF($B54+1&gt;'Qredits maandlasten'!$C$4,"",Schema!B54+1))</f>
        <v/>
      </c>
      <c r="C55" s="125" t="str">
        <f>IF($B54="","",IF($B54+1&gt;'Qredits maandlasten'!$C$4,"",EOMONTH(C54,0)+1))</f>
        <v/>
      </c>
      <c r="D55" s="123"/>
      <c r="E55" s="125" t="str">
        <f>IF($B54="","",IF($B54+1&gt;'Qredits maandlasten'!$C$4,"",F54+1))</f>
        <v/>
      </c>
      <c r="F55" s="125" t="str">
        <f>IF($B54="","",IF($B54+1&gt;'Qredits maandlasten'!$C$4,"",EOMONTH(E55,0)))</f>
        <v/>
      </c>
      <c r="G55" s="126" t="str">
        <f>IF($B54="","",IF($B54+1&gt;'Qredits maandlasten'!$C$4,"",(_xlfn.DAYS(F55,E55)+1)/DAY(F55)))</f>
        <v/>
      </c>
      <c r="H55" s="127"/>
      <c r="I55" s="128" t="str">
        <f>IF($B54="","",IF($B54+1&gt;'Qredits maandlasten'!$C$4,"",I54-J54))</f>
        <v/>
      </c>
      <c r="J55" s="128" t="str">
        <f>IF($B54="","",IF($B54+1&gt;'Qredits maandlasten'!$C$4,"",IF(B54&lt;'Qredits maandlasten'!$C$11-1,0,IF('Qredits maandlasten'!$C$10=dropdowns!$A$121,'Qredits maandlasten'!$J$3,IF('Qredits maandlasten'!$C$10=dropdowns!$A$120,IFERROR('Qredits maandlasten'!$J$3-K55,0),0)))))</f>
        <v/>
      </c>
      <c r="K55" s="128" t="str">
        <f>IF($B54="","",IF($B54+1&gt;'Qredits maandlasten'!$C$4,"",G55*I55*'Qredits maandlasten'!$C$8))</f>
        <v/>
      </c>
      <c r="L55" s="128" t="str">
        <f t="shared" si="2"/>
        <v/>
      </c>
      <c r="M55" s="128" t="str">
        <f t="shared" si="0"/>
        <v/>
      </c>
      <c r="N55" s="127"/>
      <c r="O55" s="129" t="str">
        <f>IF($B55="","",'Qredits maandlasten'!$C$8)</f>
        <v/>
      </c>
      <c r="P55" s="129" t="str">
        <f>IF($B55="","",'Qredits maandlasten'!$C$8*(POWER(1+'Qredits maandlasten'!$C$8,$B55-1+1)))</f>
        <v/>
      </c>
      <c r="Q55" s="129" t="str">
        <f t="shared" si="3"/>
        <v/>
      </c>
      <c r="R55" s="127"/>
      <c r="S55" s="128" t="str">
        <f t="shared" si="1"/>
        <v/>
      </c>
      <c r="T55" s="128" t="str">
        <f>IF(S55="","",J55/(POWER(1+'Qredits maandlasten'!$C$8,$B55-1+1)))</f>
        <v/>
      </c>
      <c r="U55" s="130" t="str">
        <f t="shared" si="4"/>
        <v/>
      </c>
      <c r="V55" s="128" t="str">
        <f>IF($B55="","",K55/(POWER(1+'Qredits maandlasten'!$C$8,$B55-1+1)))</f>
        <v/>
      </c>
      <c r="W55" s="127"/>
      <c r="X55" s="130"/>
      <c r="Y55" s="131"/>
    </row>
    <row r="56" spans="1:25" s="132" customFormat="1" x14ac:dyDescent="0.2">
      <c r="A56" s="123"/>
      <c r="B56" s="124" t="str">
        <f>IF($B55="","",IF($B55+1&gt;'Qredits maandlasten'!$C$4,"",Schema!B55+1))</f>
        <v/>
      </c>
      <c r="C56" s="125" t="str">
        <f>IF($B55="","",IF($B55+1&gt;'Qredits maandlasten'!$C$4,"",EOMONTH(C55,0)+1))</f>
        <v/>
      </c>
      <c r="D56" s="123"/>
      <c r="E56" s="125" t="str">
        <f>IF($B55="","",IF($B55+1&gt;'Qredits maandlasten'!$C$4,"",F55+1))</f>
        <v/>
      </c>
      <c r="F56" s="125" t="str">
        <f>IF($B55="","",IF($B55+1&gt;'Qredits maandlasten'!$C$4,"",EOMONTH(E56,0)))</f>
        <v/>
      </c>
      <c r="G56" s="126" t="str">
        <f>IF($B55="","",IF($B55+1&gt;'Qredits maandlasten'!$C$4,"",(_xlfn.DAYS(F56,E56)+1)/DAY(F56)))</f>
        <v/>
      </c>
      <c r="H56" s="127"/>
      <c r="I56" s="128" t="str">
        <f>IF($B55="","",IF($B55+1&gt;'Qredits maandlasten'!$C$4,"",I55-J55))</f>
        <v/>
      </c>
      <c r="J56" s="128" t="str">
        <f>IF($B55="","",IF($B55+1&gt;'Qredits maandlasten'!$C$4,"",IF(B55&lt;'Qredits maandlasten'!$C$11-1,0,IF('Qredits maandlasten'!$C$10=dropdowns!$A$121,'Qredits maandlasten'!$J$3,IF('Qredits maandlasten'!$C$10=dropdowns!$A$120,IFERROR('Qredits maandlasten'!$J$3-K56,0),0)))))</f>
        <v/>
      </c>
      <c r="K56" s="128" t="str">
        <f>IF($B55="","",IF($B55+1&gt;'Qredits maandlasten'!$C$4,"",G56*I56*'Qredits maandlasten'!$C$8))</f>
        <v/>
      </c>
      <c r="L56" s="128" t="str">
        <f t="shared" si="2"/>
        <v/>
      </c>
      <c r="M56" s="128" t="str">
        <f t="shared" si="0"/>
        <v/>
      </c>
      <c r="N56" s="127"/>
      <c r="O56" s="129" t="str">
        <f>IF($B56="","",'Qredits maandlasten'!$C$8)</f>
        <v/>
      </c>
      <c r="P56" s="129" t="str">
        <f>IF($B56="","",'Qredits maandlasten'!$C$8*(POWER(1+'Qredits maandlasten'!$C$8,$B56-1+1)))</f>
        <v/>
      </c>
      <c r="Q56" s="129" t="str">
        <f t="shared" si="3"/>
        <v/>
      </c>
      <c r="R56" s="127"/>
      <c r="S56" s="128" t="str">
        <f t="shared" si="1"/>
        <v/>
      </c>
      <c r="T56" s="128" t="str">
        <f>IF(S56="","",J56/(POWER(1+'Qredits maandlasten'!$C$8,$B56-1+1)))</f>
        <v/>
      </c>
      <c r="U56" s="130" t="str">
        <f t="shared" si="4"/>
        <v/>
      </c>
      <c r="V56" s="128" t="str">
        <f>IF($B56="","",K56/(POWER(1+'Qredits maandlasten'!$C$8,$B56-1+1)))</f>
        <v/>
      </c>
      <c r="W56" s="127"/>
      <c r="X56" s="130"/>
      <c r="Y56" s="131"/>
    </row>
    <row r="57" spans="1:25" s="132" customFormat="1" x14ac:dyDescent="0.2">
      <c r="A57" s="123"/>
      <c r="B57" s="124" t="str">
        <f>IF($B56="","",IF($B56+1&gt;'Qredits maandlasten'!$C$4,"",Schema!B56+1))</f>
        <v/>
      </c>
      <c r="C57" s="125" t="str">
        <f>IF($B56="","",IF($B56+1&gt;'Qredits maandlasten'!$C$4,"",EOMONTH(C56,0)+1))</f>
        <v/>
      </c>
      <c r="D57" s="123"/>
      <c r="E57" s="125" t="str">
        <f>IF($B56="","",IF($B56+1&gt;'Qredits maandlasten'!$C$4,"",F56+1))</f>
        <v/>
      </c>
      <c r="F57" s="125" t="str">
        <f>IF($B56="","",IF($B56+1&gt;'Qredits maandlasten'!$C$4,"",EOMONTH(E57,0)))</f>
        <v/>
      </c>
      <c r="G57" s="126" t="str">
        <f>IF($B56="","",IF($B56+1&gt;'Qredits maandlasten'!$C$4,"",(_xlfn.DAYS(F57,E57)+1)/DAY(F57)))</f>
        <v/>
      </c>
      <c r="H57" s="127"/>
      <c r="I57" s="128" t="str">
        <f>IF($B56="","",IF($B56+1&gt;'Qredits maandlasten'!$C$4,"",I56-J56))</f>
        <v/>
      </c>
      <c r="J57" s="128" t="str">
        <f>IF($B56="","",IF($B56+1&gt;'Qredits maandlasten'!$C$4,"",IF(B56&lt;'Qredits maandlasten'!$C$11-1,0,IF('Qredits maandlasten'!$C$10=dropdowns!$A$121,'Qredits maandlasten'!$J$3,IF('Qredits maandlasten'!$C$10=dropdowns!$A$120,IFERROR('Qredits maandlasten'!$J$3-K57,0),0)))))</f>
        <v/>
      </c>
      <c r="K57" s="128" t="str">
        <f>IF($B56="","",IF($B56+1&gt;'Qredits maandlasten'!$C$4,"",G57*I57*'Qredits maandlasten'!$C$8))</f>
        <v/>
      </c>
      <c r="L57" s="128" t="str">
        <f t="shared" si="2"/>
        <v/>
      </c>
      <c r="M57" s="128" t="str">
        <f t="shared" si="0"/>
        <v/>
      </c>
      <c r="N57" s="127"/>
      <c r="O57" s="129" t="str">
        <f>IF($B57="","",'Qredits maandlasten'!$C$8)</f>
        <v/>
      </c>
      <c r="P57" s="129" t="str">
        <f>IF($B57="","",'Qredits maandlasten'!$C$8*(POWER(1+'Qredits maandlasten'!$C$8,$B57-1+1)))</f>
        <v/>
      </c>
      <c r="Q57" s="129" t="str">
        <f t="shared" si="3"/>
        <v/>
      </c>
      <c r="R57" s="127"/>
      <c r="S57" s="128" t="str">
        <f t="shared" si="1"/>
        <v/>
      </c>
      <c r="T57" s="128" t="str">
        <f>IF(S57="","",J57/(POWER(1+'Qredits maandlasten'!$C$8,$B57-1+1)))</f>
        <v/>
      </c>
      <c r="U57" s="130" t="str">
        <f t="shared" si="4"/>
        <v/>
      </c>
      <c r="V57" s="128" t="str">
        <f>IF($B57="","",K57/(POWER(1+'Qredits maandlasten'!$C$8,$B57-1+1)))</f>
        <v/>
      </c>
      <c r="W57" s="127"/>
      <c r="X57" s="130"/>
      <c r="Y57" s="131"/>
    </row>
    <row r="58" spans="1:25" s="132" customFormat="1" x14ac:dyDescent="0.2">
      <c r="A58" s="123"/>
      <c r="B58" s="124" t="str">
        <f>IF($B57="","",IF($B57+1&gt;'Qredits maandlasten'!$C$4,"",Schema!B57+1))</f>
        <v/>
      </c>
      <c r="C58" s="125" t="str">
        <f>IF($B57="","",IF($B57+1&gt;'Qredits maandlasten'!$C$4,"",EOMONTH(C57,0)+1))</f>
        <v/>
      </c>
      <c r="D58" s="123"/>
      <c r="E58" s="125" t="str">
        <f>IF($B57="","",IF($B57+1&gt;'Qredits maandlasten'!$C$4,"",F57+1))</f>
        <v/>
      </c>
      <c r="F58" s="125" t="str">
        <f>IF($B57="","",IF($B57+1&gt;'Qredits maandlasten'!$C$4,"",EOMONTH(E58,0)))</f>
        <v/>
      </c>
      <c r="G58" s="126" t="str">
        <f>IF($B57="","",IF($B57+1&gt;'Qredits maandlasten'!$C$4,"",(_xlfn.DAYS(F58,E58)+1)/DAY(F58)))</f>
        <v/>
      </c>
      <c r="H58" s="127"/>
      <c r="I58" s="128" t="str">
        <f>IF($B57="","",IF($B57+1&gt;'Qredits maandlasten'!$C$4,"",I57-J57))</f>
        <v/>
      </c>
      <c r="J58" s="128" t="str">
        <f>IF($B57="","",IF($B57+1&gt;'Qredits maandlasten'!$C$4,"",IF(B57&lt;'Qredits maandlasten'!$C$11-1,0,IF('Qredits maandlasten'!$C$10=dropdowns!$A$121,'Qredits maandlasten'!$J$3,IF('Qredits maandlasten'!$C$10=dropdowns!$A$120,IFERROR('Qredits maandlasten'!$J$3-K58,0),0)))))</f>
        <v/>
      </c>
      <c r="K58" s="128" t="str">
        <f>IF($B57="","",IF($B57+1&gt;'Qredits maandlasten'!$C$4,"",G58*I58*'Qredits maandlasten'!$C$8))</f>
        <v/>
      </c>
      <c r="L58" s="128" t="str">
        <f t="shared" si="2"/>
        <v/>
      </c>
      <c r="M58" s="128" t="str">
        <f t="shared" si="0"/>
        <v/>
      </c>
      <c r="N58" s="127"/>
      <c r="O58" s="129" t="str">
        <f>IF($B58="","",'Qredits maandlasten'!$C$8)</f>
        <v/>
      </c>
      <c r="P58" s="129" t="str">
        <f>IF($B58="","",'Qredits maandlasten'!$C$8*(POWER(1+'Qredits maandlasten'!$C$8,$B58-1+1)))</f>
        <v/>
      </c>
      <c r="Q58" s="129" t="str">
        <f t="shared" si="3"/>
        <v/>
      </c>
      <c r="R58" s="127"/>
      <c r="S58" s="128" t="str">
        <f t="shared" si="1"/>
        <v/>
      </c>
      <c r="T58" s="128" t="str">
        <f>IF(S58="","",J58/(POWER(1+'Qredits maandlasten'!$C$8,$B58-1+1)))</f>
        <v/>
      </c>
      <c r="U58" s="130" t="str">
        <f t="shared" si="4"/>
        <v/>
      </c>
      <c r="V58" s="128" t="str">
        <f>IF($B58="","",K58/(POWER(1+'Qredits maandlasten'!$C$8,$B58-1+1)))</f>
        <v/>
      </c>
      <c r="W58" s="127"/>
      <c r="X58" s="130"/>
      <c r="Y58" s="131"/>
    </row>
    <row r="59" spans="1:25" s="132" customFormat="1" x14ac:dyDescent="0.2">
      <c r="A59" s="123"/>
      <c r="B59" s="124" t="str">
        <f>IF($B58="","",IF($B58+1&gt;'Qredits maandlasten'!$C$4,"",Schema!B58+1))</f>
        <v/>
      </c>
      <c r="C59" s="125" t="str">
        <f>IF($B58="","",IF($B58+1&gt;'Qredits maandlasten'!$C$4,"",EOMONTH(C58,0)+1))</f>
        <v/>
      </c>
      <c r="D59" s="123"/>
      <c r="E59" s="125" t="str">
        <f>IF($B58="","",IF($B58+1&gt;'Qredits maandlasten'!$C$4,"",F58+1))</f>
        <v/>
      </c>
      <c r="F59" s="125" t="str">
        <f>IF($B58="","",IF($B58+1&gt;'Qredits maandlasten'!$C$4,"",EOMONTH(E59,0)))</f>
        <v/>
      </c>
      <c r="G59" s="126" t="str">
        <f>IF($B58="","",IF($B58+1&gt;'Qredits maandlasten'!$C$4,"",(_xlfn.DAYS(F59,E59)+1)/DAY(F59)))</f>
        <v/>
      </c>
      <c r="H59" s="127"/>
      <c r="I59" s="128" t="str">
        <f>IF($B58="","",IF($B58+1&gt;'Qredits maandlasten'!$C$4,"",I58-J58))</f>
        <v/>
      </c>
      <c r="J59" s="128" t="str">
        <f>IF($B58="","",IF($B58+1&gt;'Qredits maandlasten'!$C$4,"",IF(B58&lt;'Qredits maandlasten'!$C$11-1,0,IF('Qredits maandlasten'!$C$10=dropdowns!$A$121,'Qredits maandlasten'!$J$3,IF('Qredits maandlasten'!$C$10=dropdowns!$A$120,IFERROR('Qredits maandlasten'!$J$3-K59,0),0)))))</f>
        <v/>
      </c>
      <c r="K59" s="128" t="str">
        <f>IF($B58="","",IF($B58+1&gt;'Qredits maandlasten'!$C$4,"",G59*I59*'Qredits maandlasten'!$C$8))</f>
        <v/>
      </c>
      <c r="L59" s="128" t="str">
        <f t="shared" si="2"/>
        <v/>
      </c>
      <c r="M59" s="128" t="str">
        <f t="shared" si="0"/>
        <v/>
      </c>
      <c r="N59" s="127"/>
      <c r="O59" s="129" t="str">
        <f>IF($B59="","",'Qredits maandlasten'!$C$8)</f>
        <v/>
      </c>
      <c r="P59" s="129" t="str">
        <f>IF($B59="","",'Qredits maandlasten'!$C$8*(POWER(1+'Qredits maandlasten'!$C$8,$B59-1+1)))</f>
        <v/>
      </c>
      <c r="Q59" s="129" t="str">
        <f t="shared" si="3"/>
        <v/>
      </c>
      <c r="R59" s="127"/>
      <c r="S59" s="128" t="str">
        <f t="shared" si="1"/>
        <v/>
      </c>
      <c r="T59" s="128" t="str">
        <f>IF(S59="","",J59/(POWER(1+'Qredits maandlasten'!$C$8,$B59-1+1)))</f>
        <v/>
      </c>
      <c r="U59" s="130" t="str">
        <f t="shared" si="4"/>
        <v/>
      </c>
      <c r="V59" s="128" t="str">
        <f>IF($B59="","",K59/(POWER(1+'Qredits maandlasten'!$C$8,$B59-1+1)))</f>
        <v/>
      </c>
      <c r="W59" s="127"/>
      <c r="X59" s="130"/>
      <c r="Y59" s="131"/>
    </row>
    <row r="60" spans="1:25" s="132" customFormat="1" x14ac:dyDescent="0.2">
      <c r="A60" s="123"/>
      <c r="B60" s="124" t="str">
        <f>IF($B59="","",IF($B59+1&gt;'Qredits maandlasten'!$C$4,"",Schema!B59+1))</f>
        <v/>
      </c>
      <c r="C60" s="125" t="str">
        <f>IF($B59="","",IF($B59+1&gt;'Qredits maandlasten'!$C$4,"",EOMONTH(C59,0)+1))</f>
        <v/>
      </c>
      <c r="D60" s="123"/>
      <c r="E60" s="125" t="str">
        <f>IF($B59="","",IF($B59+1&gt;'Qredits maandlasten'!$C$4,"",F59+1))</f>
        <v/>
      </c>
      <c r="F60" s="125" t="str">
        <f>IF($B59="","",IF($B59+1&gt;'Qredits maandlasten'!$C$4,"",EOMONTH(E60,0)))</f>
        <v/>
      </c>
      <c r="G60" s="126" t="str">
        <f>IF($B59="","",IF($B59+1&gt;'Qredits maandlasten'!$C$4,"",(_xlfn.DAYS(F60,E60)+1)/DAY(F60)))</f>
        <v/>
      </c>
      <c r="H60" s="127"/>
      <c r="I60" s="128" t="str">
        <f>IF($B59="","",IF($B59+1&gt;'Qredits maandlasten'!$C$4,"",I59-J59))</f>
        <v/>
      </c>
      <c r="J60" s="128" t="str">
        <f>IF($B59="","",IF($B59+1&gt;'Qredits maandlasten'!$C$4,"",IF(B59&lt;'Qredits maandlasten'!$C$11-1,0,IF('Qredits maandlasten'!$C$10=dropdowns!$A$121,'Qredits maandlasten'!$J$3,IF('Qredits maandlasten'!$C$10=dropdowns!$A$120,IFERROR('Qredits maandlasten'!$J$3-K60,0),0)))))</f>
        <v/>
      </c>
      <c r="K60" s="128" t="str">
        <f>IF($B59="","",IF($B59+1&gt;'Qredits maandlasten'!$C$4,"",G60*I60*'Qredits maandlasten'!$C$8))</f>
        <v/>
      </c>
      <c r="L60" s="128" t="str">
        <f t="shared" si="2"/>
        <v/>
      </c>
      <c r="M60" s="128" t="str">
        <f t="shared" si="0"/>
        <v/>
      </c>
      <c r="N60" s="127"/>
      <c r="O60" s="129" t="str">
        <f>IF($B60="","",'Qredits maandlasten'!$C$8)</f>
        <v/>
      </c>
      <c r="P60" s="129" t="str">
        <f>IF($B60="","",'Qredits maandlasten'!$C$8*(POWER(1+'Qredits maandlasten'!$C$8,$B60-1+1)))</f>
        <v/>
      </c>
      <c r="Q60" s="129" t="str">
        <f t="shared" si="3"/>
        <v/>
      </c>
      <c r="R60" s="127"/>
      <c r="S60" s="128" t="str">
        <f t="shared" si="1"/>
        <v/>
      </c>
      <c r="T60" s="128" t="str">
        <f>IF(S60="","",J60/(POWER(1+'Qredits maandlasten'!$C$8,$B60-1+1)))</f>
        <v/>
      </c>
      <c r="U60" s="130" t="str">
        <f t="shared" si="4"/>
        <v/>
      </c>
      <c r="V60" s="128" t="str">
        <f>IF($B60="","",K60/(POWER(1+'Qredits maandlasten'!$C$8,$B60-1+1)))</f>
        <v/>
      </c>
      <c r="W60" s="127"/>
      <c r="X60" s="130"/>
      <c r="Y60" s="131"/>
    </row>
    <row r="61" spans="1:25" s="132" customFormat="1" x14ac:dyDescent="0.2">
      <c r="A61" s="123"/>
      <c r="B61" s="124" t="str">
        <f>IF($B60="","",IF($B60+1&gt;'Qredits maandlasten'!$C$4,"",Schema!B60+1))</f>
        <v/>
      </c>
      <c r="C61" s="125" t="str">
        <f>IF($B60="","",IF($B60+1&gt;'Qredits maandlasten'!$C$4,"",EOMONTH(C60,0)+1))</f>
        <v/>
      </c>
      <c r="D61" s="123"/>
      <c r="E61" s="125" t="str">
        <f>IF($B60="","",IF($B60+1&gt;'Qredits maandlasten'!$C$4,"",F60+1))</f>
        <v/>
      </c>
      <c r="F61" s="125" t="str">
        <f>IF($B60="","",IF($B60+1&gt;'Qredits maandlasten'!$C$4,"",EOMONTH(E61,0)))</f>
        <v/>
      </c>
      <c r="G61" s="126" t="str">
        <f>IF($B60="","",IF($B60+1&gt;'Qredits maandlasten'!$C$4,"",(_xlfn.DAYS(F61,E61)+1)/DAY(F61)))</f>
        <v/>
      </c>
      <c r="H61" s="127"/>
      <c r="I61" s="128" t="str">
        <f>IF($B60="","",IF($B60+1&gt;'Qredits maandlasten'!$C$4,"",I60-J60))</f>
        <v/>
      </c>
      <c r="J61" s="128" t="str">
        <f>IF($B60="","",IF($B60+1&gt;'Qredits maandlasten'!$C$4,"",IF(B60&lt;'Qredits maandlasten'!$C$11-1,0,IF('Qredits maandlasten'!$C$10=dropdowns!$A$121,'Qredits maandlasten'!$J$3,IF('Qredits maandlasten'!$C$10=dropdowns!$A$120,IFERROR('Qredits maandlasten'!$J$3-K61,0),0)))))</f>
        <v/>
      </c>
      <c r="K61" s="128" t="str">
        <f>IF($B60="","",IF($B60+1&gt;'Qredits maandlasten'!$C$4,"",G61*I61*'Qredits maandlasten'!$C$8))</f>
        <v/>
      </c>
      <c r="L61" s="128" t="str">
        <f t="shared" si="2"/>
        <v/>
      </c>
      <c r="M61" s="128" t="str">
        <f t="shared" si="0"/>
        <v/>
      </c>
      <c r="N61" s="127"/>
      <c r="O61" s="129" t="str">
        <f>IF($B61="","",'Qredits maandlasten'!$C$8)</f>
        <v/>
      </c>
      <c r="P61" s="129" t="str">
        <f>IF($B61="","",'Qredits maandlasten'!$C$8*(POWER(1+'Qredits maandlasten'!$C$8,$B61-1+1)))</f>
        <v/>
      </c>
      <c r="Q61" s="129" t="str">
        <f t="shared" si="3"/>
        <v/>
      </c>
      <c r="R61" s="127"/>
      <c r="S61" s="128" t="str">
        <f t="shared" si="1"/>
        <v/>
      </c>
      <c r="T61" s="128" t="str">
        <f>IF(S61="","",J61/(POWER(1+'Qredits maandlasten'!$C$8,$B61-1+1)))</f>
        <v/>
      </c>
      <c r="U61" s="130" t="str">
        <f t="shared" si="4"/>
        <v/>
      </c>
      <c r="V61" s="128" t="str">
        <f>IF($B61="","",K61/(POWER(1+'Qredits maandlasten'!$C$8,$B61-1+1)))</f>
        <v/>
      </c>
      <c r="W61" s="127"/>
      <c r="X61" s="130"/>
      <c r="Y61" s="131"/>
    </row>
    <row r="62" spans="1:25" s="132" customFormat="1" x14ac:dyDescent="0.2">
      <c r="A62" s="123"/>
      <c r="B62" s="124" t="str">
        <f>IF($B61="","",IF($B61+1&gt;'Qredits maandlasten'!$C$4,"",Schema!B61+1))</f>
        <v/>
      </c>
      <c r="C62" s="125" t="str">
        <f>IF($B61="","",IF($B61+1&gt;'Qredits maandlasten'!$C$4,"",EOMONTH(C61,0)+1))</f>
        <v/>
      </c>
      <c r="D62" s="123"/>
      <c r="E62" s="125" t="str">
        <f>IF($B61="","",IF($B61+1&gt;'Qredits maandlasten'!$C$4,"",F61+1))</f>
        <v/>
      </c>
      <c r="F62" s="125" t="str">
        <f>IF($B61="","",IF($B61+1&gt;'Qredits maandlasten'!$C$4,"",EOMONTH(E62,0)))</f>
        <v/>
      </c>
      <c r="G62" s="126" t="str">
        <f>IF($B61="","",IF($B61+1&gt;'Qredits maandlasten'!$C$4,"",(_xlfn.DAYS(F62,E62)+1)/DAY(F62)))</f>
        <v/>
      </c>
      <c r="H62" s="127"/>
      <c r="I62" s="128" t="str">
        <f>IF($B61="","",IF($B61+1&gt;'Qredits maandlasten'!$C$4,"",I61-J61))</f>
        <v/>
      </c>
      <c r="J62" s="128" t="str">
        <f>IF($B61="","",IF($B61+1&gt;'Qredits maandlasten'!$C$4,"",IF(B61&lt;'Qredits maandlasten'!$C$11-1,0,IF('Qredits maandlasten'!$C$10=dropdowns!$A$121,'Qredits maandlasten'!$J$3,IF('Qredits maandlasten'!$C$10=dropdowns!$A$120,IFERROR('Qredits maandlasten'!$J$3-K62,0),0)))))</f>
        <v/>
      </c>
      <c r="K62" s="128" t="str">
        <f>IF($B61="","",IF($B61+1&gt;'Qredits maandlasten'!$C$4,"",G62*I62*'Qredits maandlasten'!$C$8))</f>
        <v/>
      </c>
      <c r="L62" s="128" t="str">
        <f t="shared" si="2"/>
        <v/>
      </c>
      <c r="M62" s="128" t="str">
        <f t="shared" si="0"/>
        <v/>
      </c>
      <c r="N62" s="127"/>
      <c r="O62" s="129" t="str">
        <f>IF($B62="","",'Qredits maandlasten'!$C$8)</f>
        <v/>
      </c>
      <c r="P62" s="129" t="str">
        <f>IF($B62="","",'Qredits maandlasten'!$C$8*(POWER(1+'Qredits maandlasten'!$C$8,$B62-1+1)))</f>
        <v/>
      </c>
      <c r="Q62" s="129" t="str">
        <f t="shared" si="3"/>
        <v/>
      </c>
      <c r="R62" s="127"/>
      <c r="S62" s="128" t="str">
        <f t="shared" si="1"/>
        <v/>
      </c>
      <c r="T62" s="128" t="str">
        <f>IF(S62="","",J62/(POWER(1+'Qredits maandlasten'!$C$8,$B62-1+1)))</f>
        <v/>
      </c>
      <c r="U62" s="130" t="str">
        <f t="shared" si="4"/>
        <v/>
      </c>
      <c r="V62" s="128" t="str">
        <f>IF($B62="","",K62/(POWER(1+'Qredits maandlasten'!$C$8,$B62-1+1)))</f>
        <v/>
      </c>
      <c r="W62" s="127"/>
      <c r="X62" s="130"/>
      <c r="Y62" s="131"/>
    </row>
    <row r="63" spans="1:25" s="132" customFormat="1" x14ac:dyDescent="0.2">
      <c r="A63" s="123"/>
      <c r="B63" s="124" t="str">
        <f>IF($B62="","",IF($B62+1&gt;'Qredits maandlasten'!$C$4,"",Schema!B62+1))</f>
        <v/>
      </c>
      <c r="C63" s="125" t="str">
        <f>IF($B62="","",IF($B62+1&gt;'Qredits maandlasten'!$C$4,"",EOMONTH(C62,0)+1))</f>
        <v/>
      </c>
      <c r="D63" s="123"/>
      <c r="E63" s="125" t="str">
        <f>IF($B62="","",IF($B62+1&gt;'Qredits maandlasten'!$C$4,"",F62+1))</f>
        <v/>
      </c>
      <c r="F63" s="125" t="str">
        <f>IF($B62="","",IF($B62+1&gt;'Qredits maandlasten'!$C$4,"",EOMONTH(E63,0)))</f>
        <v/>
      </c>
      <c r="G63" s="126" t="str">
        <f>IF($B62="","",IF($B62+1&gt;'Qredits maandlasten'!$C$4,"",(_xlfn.DAYS(F63,E63)+1)/DAY(F63)))</f>
        <v/>
      </c>
      <c r="H63" s="127"/>
      <c r="I63" s="128" t="str">
        <f>IF($B62="","",IF($B62+1&gt;'Qredits maandlasten'!$C$4,"",I62-J62))</f>
        <v/>
      </c>
      <c r="J63" s="128" t="str">
        <f>IF($B62="","",IF($B62+1&gt;'Qredits maandlasten'!$C$4,"",IF(B62&lt;'Qredits maandlasten'!$C$11-1,0,IF('Qredits maandlasten'!$C$10=dropdowns!$A$121,'Qredits maandlasten'!$J$3,IF('Qredits maandlasten'!$C$10=dropdowns!$A$120,IFERROR('Qredits maandlasten'!$J$3-K63,0),0)))))</f>
        <v/>
      </c>
      <c r="K63" s="128" t="str">
        <f>IF($B62="","",IF($B62+1&gt;'Qredits maandlasten'!$C$4,"",G63*I63*'Qredits maandlasten'!$C$8))</f>
        <v/>
      </c>
      <c r="L63" s="128" t="str">
        <f t="shared" si="2"/>
        <v/>
      </c>
      <c r="M63" s="128" t="str">
        <f t="shared" si="0"/>
        <v/>
      </c>
      <c r="N63" s="127"/>
      <c r="O63" s="129" t="str">
        <f>IF($B63="","",'Qredits maandlasten'!$C$8)</f>
        <v/>
      </c>
      <c r="P63" s="129" t="str">
        <f>IF($B63="","",'Qredits maandlasten'!$C$8*(POWER(1+'Qredits maandlasten'!$C$8,$B63-1+1)))</f>
        <v/>
      </c>
      <c r="Q63" s="129" t="str">
        <f t="shared" si="3"/>
        <v/>
      </c>
      <c r="R63" s="127"/>
      <c r="S63" s="128" t="str">
        <f t="shared" si="1"/>
        <v/>
      </c>
      <c r="T63" s="128" t="str">
        <f>IF(S63="","",J63/(POWER(1+'Qredits maandlasten'!$C$8,$B63-1+1)))</f>
        <v/>
      </c>
      <c r="U63" s="130" t="str">
        <f t="shared" si="4"/>
        <v/>
      </c>
      <c r="V63" s="128" t="str">
        <f>IF($B63="","",K63/(POWER(1+'Qredits maandlasten'!$C$8,$B63-1+1)))</f>
        <v/>
      </c>
      <c r="W63" s="127"/>
      <c r="X63" s="130"/>
      <c r="Y63" s="131"/>
    </row>
    <row r="64" spans="1:25" s="132" customFormat="1" x14ac:dyDescent="0.2">
      <c r="A64" s="123"/>
      <c r="B64" s="124" t="str">
        <f>IF($B63="","",IF($B63+1&gt;'Qredits maandlasten'!$C$4,"",Schema!B63+1))</f>
        <v/>
      </c>
      <c r="C64" s="125" t="str">
        <f>IF($B63="","",IF($B63+1&gt;'Qredits maandlasten'!$C$4,"",EOMONTH(C63,0)+1))</f>
        <v/>
      </c>
      <c r="D64" s="123"/>
      <c r="E64" s="125" t="str">
        <f>IF($B63="","",IF($B63+1&gt;'Qredits maandlasten'!$C$4,"",F63+1))</f>
        <v/>
      </c>
      <c r="F64" s="125" t="str">
        <f>IF($B63="","",IF($B63+1&gt;'Qredits maandlasten'!$C$4,"",EOMONTH(E64,0)))</f>
        <v/>
      </c>
      <c r="G64" s="126" t="str">
        <f>IF($B63="","",IF($B63+1&gt;'Qredits maandlasten'!$C$4,"",(_xlfn.DAYS(F64,E64)+1)/DAY(F64)))</f>
        <v/>
      </c>
      <c r="H64" s="127"/>
      <c r="I64" s="128" t="str">
        <f>IF($B63="","",IF($B63+1&gt;'Qredits maandlasten'!$C$4,"",I63-J63))</f>
        <v/>
      </c>
      <c r="J64" s="128" t="str">
        <f>IF($B63="","",IF($B63+1&gt;'Qredits maandlasten'!$C$4,"",IF(B63&lt;'Qredits maandlasten'!$C$11-1,0,IF('Qredits maandlasten'!$C$10=dropdowns!$A$121,'Qredits maandlasten'!$J$3,IF('Qredits maandlasten'!$C$10=dropdowns!$A$120,IFERROR('Qredits maandlasten'!$J$3-K64,0),0)))))</f>
        <v/>
      </c>
      <c r="K64" s="128" t="str">
        <f>IF($B63="","",IF($B63+1&gt;'Qredits maandlasten'!$C$4,"",G64*I64*'Qredits maandlasten'!$C$8))</f>
        <v/>
      </c>
      <c r="L64" s="128" t="str">
        <f t="shared" si="2"/>
        <v/>
      </c>
      <c r="M64" s="128" t="str">
        <f t="shared" si="0"/>
        <v/>
      </c>
      <c r="N64" s="127"/>
      <c r="O64" s="129" t="str">
        <f>IF($B64="","",'Qredits maandlasten'!$C$8)</f>
        <v/>
      </c>
      <c r="P64" s="129" t="str">
        <f>IF($B64="","",'Qredits maandlasten'!$C$8*(POWER(1+'Qredits maandlasten'!$C$8,$B64-1+1)))</f>
        <v/>
      </c>
      <c r="Q64" s="129" t="str">
        <f t="shared" si="3"/>
        <v/>
      </c>
      <c r="R64" s="127"/>
      <c r="S64" s="128" t="str">
        <f t="shared" si="1"/>
        <v/>
      </c>
      <c r="T64" s="128" t="str">
        <f>IF(S64="","",J64/(POWER(1+'Qredits maandlasten'!$C$8,$B64-1+1)))</f>
        <v/>
      </c>
      <c r="U64" s="130" t="str">
        <f t="shared" si="4"/>
        <v/>
      </c>
      <c r="V64" s="128" t="str">
        <f>IF($B64="","",K64/(POWER(1+'Qredits maandlasten'!$C$8,$B64-1+1)))</f>
        <v/>
      </c>
      <c r="W64" s="127"/>
      <c r="X64" s="130"/>
      <c r="Y64" s="131"/>
    </row>
    <row r="65" spans="1:25" s="132" customFormat="1" x14ac:dyDescent="0.2">
      <c r="A65" s="123"/>
      <c r="B65" s="124" t="str">
        <f>IF($B64="","",IF($B64+1&gt;'Qredits maandlasten'!$C$4,"",Schema!B64+1))</f>
        <v/>
      </c>
      <c r="C65" s="125" t="str">
        <f>IF($B64="","",IF($B64+1&gt;'Qredits maandlasten'!$C$4,"",EOMONTH(C64,0)+1))</f>
        <v/>
      </c>
      <c r="D65" s="123"/>
      <c r="E65" s="125" t="str">
        <f>IF($B64="","",IF($B64+1&gt;'Qredits maandlasten'!$C$4,"",F64+1))</f>
        <v/>
      </c>
      <c r="F65" s="125" t="str">
        <f>IF($B64="","",IF($B64+1&gt;'Qredits maandlasten'!$C$4,"",EOMONTH(E65,0)))</f>
        <v/>
      </c>
      <c r="G65" s="126" t="str">
        <f>IF($B64="","",IF($B64+1&gt;'Qredits maandlasten'!$C$4,"",(_xlfn.DAYS(F65,E65)+1)/DAY(F65)))</f>
        <v/>
      </c>
      <c r="H65" s="127"/>
      <c r="I65" s="128" t="str">
        <f>IF($B64="","",IF($B64+1&gt;'Qredits maandlasten'!$C$4,"",I64-J64))</f>
        <v/>
      </c>
      <c r="J65" s="128" t="str">
        <f>IF($B64="","",IF($B64+1&gt;'Qredits maandlasten'!$C$4,"",IF(B64&lt;'Qredits maandlasten'!$C$11-1,0,IF('Qredits maandlasten'!$C$10=dropdowns!$A$121,'Qredits maandlasten'!$J$3,IF('Qredits maandlasten'!$C$10=dropdowns!$A$120,IFERROR('Qredits maandlasten'!$J$3-K65,0),0)))))</f>
        <v/>
      </c>
      <c r="K65" s="128" t="str">
        <f>IF($B64="","",IF($B64+1&gt;'Qredits maandlasten'!$C$4,"",G65*I65*'Qredits maandlasten'!$C$8))</f>
        <v/>
      </c>
      <c r="L65" s="128" t="str">
        <f t="shared" si="2"/>
        <v/>
      </c>
      <c r="M65" s="128" t="str">
        <f t="shared" si="0"/>
        <v/>
      </c>
      <c r="N65" s="127"/>
      <c r="O65" s="129" t="str">
        <f>IF($B65="","",'Qredits maandlasten'!$C$8)</f>
        <v/>
      </c>
      <c r="P65" s="129" t="str">
        <f>IF($B65="","",'Qredits maandlasten'!$C$8*(POWER(1+'Qredits maandlasten'!$C$8,$B65-1+1)))</f>
        <v/>
      </c>
      <c r="Q65" s="129" t="str">
        <f t="shared" si="3"/>
        <v/>
      </c>
      <c r="R65" s="127"/>
      <c r="S65" s="128" t="str">
        <f t="shared" si="1"/>
        <v/>
      </c>
      <c r="T65" s="128" t="str">
        <f>IF(S65="","",J65/(POWER(1+'Qredits maandlasten'!$C$8,$B65-1+1)))</f>
        <v/>
      </c>
      <c r="U65" s="130" t="str">
        <f t="shared" si="4"/>
        <v/>
      </c>
      <c r="V65" s="128" t="str">
        <f>IF($B65="","",K65/(POWER(1+'Qredits maandlasten'!$C$8,$B65-1+1)))</f>
        <v/>
      </c>
      <c r="W65" s="127"/>
      <c r="X65" s="130"/>
      <c r="Y65" s="131"/>
    </row>
    <row r="66" spans="1:25" s="132" customFormat="1" x14ac:dyDescent="0.2">
      <c r="A66" s="123"/>
      <c r="B66" s="124" t="str">
        <f>IF($B65="","",IF($B65+1&gt;'Qredits maandlasten'!$C$4,"",Schema!B65+1))</f>
        <v/>
      </c>
      <c r="C66" s="125" t="str">
        <f>IF($B65="","",IF($B65+1&gt;'Qredits maandlasten'!$C$4,"",EOMONTH(C65,0)+1))</f>
        <v/>
      </c>
      <c r="D66" s="123"/>
      <c r="E66" s="125" t="str">
        <f>IF($B65="","",IF($B65+1&gt;'Qredits maandlasten'!$C$4,"",F65+1))</f>
        <v/>
      </c>
      <c r="F66" s="125" t="str">
        <f>IF($B65="","",IF($B65+1&gt;'Qredits maandlasten'!$C$4,"",EOMONTH(E66,0)))</f>
        <v/>
      </c>
      <c r="G66" s="126" t="str">
        <f>IF($B65="","",IF($B65+1&gt;'Qredits maandlasten'!$C$4,"",(_xlfn.DAYS(F66,E66)+1)/DAY(F66)))</f>
        <v/>
      </c>
      <c r="H66" s="127"/>
      <c r="I66" s="128" t="str">
        <f>IF($B65="","",IF($B65+1&gt;'Qredits maandlasten'!$C$4,"",I65-J65))</f>
        <v/>
      </c>
      <c r="J66" s="128" t="str">
        <f>IF($B65="","",IF($B65+1&gt;'Qredits maandlasten'!$C$4,"",IF(B65&lt;'Qredits maandlasten'!$C$11-1,0,IF('Qredits maandlasten'!$C$10=dropdowns!$A$121,'Qredits maandlasten'!$J$3,IF('Qredits maandlasten'!$C$10=dropdowns!$A$120,IFERROR('Qredits maandlasten'!$J$3-K66,0),0)))))</f>
        <v/>
      </c>
      <c r="K66" s="128" t="str">
        <f>IF($B65="","",IF($B65+1&gt;'Qredits maandlasten'!$C$4,"",G66*I66*'Qredits maandlasten'!$C$8))</f>
        <v/>
      </c>
      <c r="L66" s="128" t="str">
        <f t="shared" si="2"/>
        <v/>
      </c>
      <c r="M66" s="128" t="str">
        <f t="shared" si="0"/>
        <v/>
      </c>
      <c r="N66" s="127"/>
      <c r="O66" s="129" t="str">
        <f>IF($B66="","",'Qredits maandlasten'!$C$8)</f>
        <v/>
      </c>
      <c r="P66" s="129" t="str">
        <f>IF($B66="","",'Qredits maandlasten'!$C$8*(POWER(1+'Qredits maandlasten'!$C$8,$B66-1+1)))</f>
        <v/>
      </c>
      <c r="Q66" s="129" t="str">
        <f t="shared" si="3"/>
        <v/>
      </c>
      <c r="R66" s="127"/>
      <c r="S66" s="128" t="str">
        <f t="shared" si="1"/>
        <v/>
      </c>
      <c r="T66" s="128" t="str">
        <f>IF(S66="","",J66/(POWER(1+'Qredits maandlasten'!$C$8,$B66-1+1)))</f>
        <v/>
      </c>
      <c r="U66" s="130" t="str">
        <f t="shared" si="4"/>
        <v/>
      </c>
      <c r="V66" s="128" t="str">
        <f>IF($B66="","",K66/(POWER(1+'Qredits maandlasten'!$C$8,$B66-1+1)))</f>
        <v/>
      </c>
      <c r="W66" s="127"/>
      <c r="X66" s="130"/>
      <c r="Y66" s="131"/>
    </row>
    <row r="67" spans="1:25" s="132" customFormat="1" x14ac:dyDescent="0.2">
      <c r="A67" s="123"/>
      <c r="B67" s="124" t="str">
        <f>IF($B66="","",IF($B66+1&gt;'Qredits maandlasten'!$C$4,"",Schema!B66+1))</f>
        <v/>
      </c>
      <c r="C67" s="125" t="str">
        <f>IF($B66="","",IF($B66+1&gt;'Qredits maandlasten'!$C$4,"",EOMONTH(C66,0)+1))</f>
        <v/>
      </c>
      <c r="D67" s="123"/>
      <c r="E67" s="125" t="str">
        <f>IF($B66="","",IF($B66+1&gt;'Qredits maandlasten'!$C$4,"",F66+1))</f>
        <v/>
      </c>
      <c r="F67" s="125" t="str">
        <f>IF($B66="","",IF($B66+1&gt;'Qredits maandlasten'!$C$4,"",EOMONTH(E67,0)))</f>
        <v/>
      </c>
      <c r="G67" s="126" t="str">
        <f>IF($B66="","",IF($B66+1&gt;'Qredits maandlasten'!$C$4,"",(_xlfn.DAYS(F67,E67)+1)/DAY(F67)))</f>
        <v/>
      </c>
      <c r="H67" s="127"/>
      <c r="I67" s="128" t="str">
        <f>IF($B66="","",IF($B66+1&gt;'Qredits maandlasten'!$C$4,"",I66-J66))</f>
        <v/>
      </c>
      <c r="J67" s="128" t="str">
        <f>IF($B66="","",IF($B66+1&gt;'Qredits maandlasten'!$C$4,"",IF(B66&lt;'Qredits maandlasten'!$C$11-1,0,IF('Qredits maandlasten'!$C$10=dropdowns!$A$121,'Qredits maandlasten'!$J$3,IF('Qredits maandlasten'!$C$10=dropdowns!$A$120,IFERROR('Qredits maandlasten'!$J$3-K67,0),0)))))</f>
        <v/>
      </c>
      <c r="K67" s="128" t="str">
        <f>IF($B66="","",IF($B66+1&gt;'Qredits maandlasten'!$C$4,"",G67*I67*'Qredits maandlasten'!$C$8))</f>
        <v/>
      </c>
      <c r="L67" s="128" t="str">
        <f t="shared" si="2"/>
        <v/>
      </c>
      <c r="M67" s="128" t="str">
        <f t="shared" si="0"/>
        <v/>
      </c>
      <c r="N67" s="127"/>
      <c r="O67" s="129" t="str">
        <f>IF($B67="","",'Qredits maandlasten'!$C$8)</f>
        <v/>
      </c>
      <c r="P67" s="129" t="str">
        <f>IF($B67="","",'Qredits maandlasten'!$C$8*(POWER(1+'Qredits maandlasten'!$C$8,$B67-1+1)))</f>
        <v/>
      </c>
      <c r="Q67" s="129" t="str">
        <f t="shared" si="3"/>
        <v/>
      </c>
      <c r="R67" s="127"/>
      <c r="S67" s="128" t="str">
        <f t="shared" si="1"/>
        <v/>
      </c>
      <c r="T67" s="128" t="str">
        <f>IF(S67="","",J67/(POWER(1+'Qredits maandlasten'!$C$8,$B67-1+1)))</f>
        <v/>
      </c>
      <c r="U67" s="130" t="str">
        <f t="shared" si="4"/>
        <v/>
      </c>
      <c r="V67" s="128" t="str">
        <f>IF($B67="","",K67/(POWER(1+'Qredits maandlasten'!$C$8,$B67-1+1)))</f>
        <v/>
      </c>
      <c r="W67" s="127"/>
      <c r="X67" s="130"/>
      <c r="Y67" s="131"/>
    </row>
    <row r="68" spans="1:25" s="132" customFormat="1" x14ac:dyDescent="0.2">
      <c r="A68" s="123"/>
      <c r="B68" s="124" t="str">
        <f>IF($B67="","",IF($B67+1&gt;'Qredits maandlasten'!$C$4,"",Schema!B67+1))</f>
        <v/>
      </c>
      <c r="C68" s="125" t="str">
        <f>IF($B67="","",IF($B67+1&gt;'Qredits maandlasten'!$C$4,"",EOMONTH(C67,0)+1))</f>
        <v/>
      </c>
      <c r="D68" s="123"/>
      <c r="E68" s="125" t="str">
        <f>IF($B67="","",IF($B67+1&gt;'Qredits maandlasten'!$C$4,"",F67+1))</f>
        <v/>
      </c>
      <c r="F68" s="125" t="str">
        <f>IF($B67="","",IF($B67+1&gt;'Qredits maandlasten'!$C$4,"",EOMONTH(E68,0)))</f>
        <v/>
      </c>
      <c r="G68" s="126" t="str">
        <f>IF($B67="","",IF($B67+1&gt;'Qredits maandlasten'!$C$4,"",(_xlfn.DAYS(F68,E68)+1)/DAY(F68)))</f>
        <v/>
      </c>
      <c r="H68" s="127"/>
      <c r="I68" s="128" t="str">
        <f>IF($B67="","",IF($B67+1&gt;'Qredits maandlasten'!$C$4,"",I67-J67))</f>
        <v/>
      </c>
      <c r="J68" s="128" t="str">
        <f>IF($B67="","",IF($B67+1&gt;'Qredits maandlasten'!$C$4,"",IF(B67&lt;'Qredits maandlasten'!$C$11-1,0,IF('Qredits maandlasten'!$C$10=dropdowns!$A$121,'Qredits maandlasten'!$J$3,IF('Qredits maandlasten'!$C$10=dropdowns!$A$120,IFERROR('Qredits maandlasten'!$J$3-K68,0),0)))))</f>
        <v/>
      </c>
      <c r="K68" s="128" t="str">
        <f>IF($B67="","",IF($B67+1&gt;'Qredits maandlasten'!$C$4,"",G68*I68*'Qredits maandlasten'!$C$8))</f>
        <v/>
      </c>
      <c r="L68" s="128" t="str">
        <f t="shared" si="2"/>
        <v/>
      </c>
      <c r="M68" s="128" t="str">
        <f t="shared" si="0"/>
        <v/>
      </c>
      <c r="N68" s="127"/>
      <c r="O68" s="129" t="str">
        <f>IF($B68="","",'Qredits maandlasten'!$C$8)</f>
        <v/>
      </c>
      <c r="P68" s="129" t="str">
        <f>IF($B68="","",'Qredits maandlasten'!$C$8*(POWER(1+'Qredits maandlasten'!$C$8,$B68-1+1)))</f>
        <v/>
      </c>
      <c r="Q68" s="129" t="str">
        <f t="shared" si="3"/>
        <v/>
      </c>
      <c r="R68" s="127"/>
      <c r="S68" s="128" t="str">
        <f t="shared" si="1"/>
        <v/>
      </c>
      <c r="T68" s="128" t="str">
        <f>IF(S68="","",J68/(POWER(1+'Qredits maandlasten'!$C$8,$B68-1+1)))</f>
        <v/>
      </c>
      <c r="U68" s="130" t="str">
        <f t="shared" si="4"/>
        <v/>
      </c>
      <c r="V68" s="128" t="str">
        <f>IF($B68="","",K68/(POWER(1+'Qredits maandlasten'!$C$8,$B68-1+1)))</f>
        <v/>
      </c>
      <c r="W68" s="127"/>
      <c r="X68" s="130"/>
      <c r="Y68" s="131"/>
    </row>
    <row r="69" spans="1:25" s="132" customFormat="1" x14ac:dyDescent="0.2">
      <c r="A69" s="123"/>
      <c r="B69" s="124" t="str">
        <f>IF($B68="","",IF($B68+1&gt;'Qredits maandlasten'!$C$4,"",Schema!B68+1))</f>
        <v/>
      </c>
      <c r="C69" s="125" t="str">
        <f>IF($B68="","",IF($B68+1&gt;'Qredits maandlasten'!$C$4,"",EOMONTH(C68,0)+1))</f>
        <v/>
      </c>
      <c r="D69" s="123"/>
      <c r="E69" s="125" t="str">
        <f>IF($B68="","",IF($B68+1&gt;'Qredits maandlasten'!$C$4,"",F68+1))</f>
        <v/>
      </c>
      <c r="F69" s="125" t="str">
        <f>IF($B68="","",IF($B68+1&gt;'Qredits maandlasten'!$C$4,"",EOMONTH(E69,0)))</f>
        <v/>
      </c>
      <c r="G69" s="126" t="str">
        <f>IF($B68="","",IF($B68+1&gt;'Qredits maandlasten'!$C$4,"",(_xlfn.DAYS(F69,E69)+1)/DAY(F69)))</f>
        <v/>
      </c>
      <c r="H69" s="127"/>
      <c r="I69" s="128" t="str">
        <f>IF($B68="","",IF($B68+1&gt;'Qredits maandlasten'!$C$4,"",I68-J68))</f>
        <v/>
      </c>
      <c r="J69" s="128" t="str">
        <f>IF($B68="","",IF($B68+1&gt;'Qredits maandlasten'!$C$4,"",IF(B68&lt;'Qredits maandlasten'!$C$11-1,0,IF('Qredits maandlasten'!$C$10=dropdowns!$A$121,'Qredits maandlasten'!$J$3,IF('Qredits maandlasten'!$C$10=dropdowns!$A$120,IFERROR('Qredits maandlasten'!$J$3-K69,0),0)))))</f>
        <v/>
      </c>
      <c r="K69" s="128" t="str">
        <f>IF($B68="","",IF($B68+1&gt;'Qredits maandlasten'!$C$4,"",G69*I69*'Qredits maandlasten'!$C$8))</f>
        <v/>
      </c>
      <c r="L69" s="128" t="str">
        <f t="shared" si="2"/>
        <v/>
      </c>
      <c r="M69" s="128" t="str">
        <f t="shared" si="0"/>
        <v/>
      </c>
      <c r="N69" s="127"/>
      <c r="O69" s="129" t="str">
        <f>IF($B69="","",'Qredits maandlasten'!$C$8)</f>
        <v/>
      </c>
      <c r="P69" s="129" t="str">
        <f>IF($B69="","",'Qredits maandlasten'!$C$8*(POWER(1+'Qredits maandlasten'!$C$8,$B69-1+1)))</f>
        <v/>
      </c>
      <c r="Q69" s="129" t="str">
        <f t="shared" si="3"/>
        <v/>
      </c>
      <c r="R69" s="127"/>
      <c r="S69" s="128" t="str">
        <f t="shared" si="1"/>
        <v/>
      </c>
      <c r="T69" s="128" t="str">
        <f>IF(S69="","",J69/(POWER(1+'Qredits maandlasten'!$C$8,$B69-1+1)))</f>
        <v/>
      </c>
      <c r="U69" s="130" t="str">
        <f t="shared" si="4"/>
        <v/>
      </c>
      <c r="V69" s="128" t="str">
        <f>IF($B69="","",K69/(POWER(1+'Qredits maandlasten'!$C$8,$B69-1+1)))</f>
        <v/>
      </c>
      <c r="W69" s="127"/>
    </row>
    <row r="70" spans="1:25" s="132" customFormat="1" x14ac:dyDescent="0.2">
      <c r="A70" s="123"/>
      <c r="B70" s="124" t="str">
        <f>IF($B69="","",IF($B69+1&gt;'Qredits maandlasten'!$C$4,"",Schema!B69+1))</f>
        <v/>
      </c>
      <c r="C70" s="125" t="str">
        <f>IF($B69="","",IF($B69+1&gt;'Qredits maandlasten'!$C$4,"",EOMONTH(C69,0)+1))</f>
        <v/>
      </c>
      <c r="D70" s="123"/>
      <c r="E70" s="125" t="str">
        <f>IF($B69="","",IF($B69+1&gt;'Qredits maandlasten'!$C$4,"",F69+1))</f>
        <v/>
      </c>
      <c r="F70" s="125" t="str">
        <f>IF($B69="","",IF($B69+1&gt;'Qredits maandlasten'!$C$4,"",EOMONTH(E70,0)))</f>
        <v/>
      </c>
      <c r="G70" s="126" t="str">
        <f>IF($B69="","",IF($B69+1&gt;'Qredits maandlasten'!$C$4,"",(_xlfn.DAYS(F70,E70)+1)/DAY(F70)))</f>
        <v/>
      </c>
      <c r="H70" s="127"/>
      <c r="I70" s="128" t="str">
        <f>IF($B69="","",IF($B69+1&gt;'Qredits maandlasten'!$C$4,"",I69-J69))</f>
        <v/>
      </c>
      <c r="J70" s="128" t="str">
        <f>IF($B69="","",IF($B69+1&gt;'Qredits maandlasten'!$C$4,"",IF(B69&lt;'Qredits maandlasten'!$C$11-1,0,IF('Qredits maandlasten'!$C$10=dropdowns!$A$121,'Qredits maandlasten'!$J$3,IF('Qredits maandlasten'!$C$10=dropdowns!$A$120,IFERROR('Qredits maandlasten'!$J$3-K70,0),0)))))</f>
        <v/>
      </c>
      <c r="K70" s="128" t="str">
        <f>IF($B69="","",IF($B69+1&gt;'Qredits maandlasten'!$C$4,"",G70*I70*'Qredits maandlasten'!$C$8))</f>
        <v/>
      </c>
      <c r="L70" s="128" t="str">
        <f t="shared" si="2"/>
        <v/>
      </c>
      <c r="M70" s="128" t="str">
        <f t="shared" si="0"/>
        <v/>
      </c>
      <c r="N70" s="127"/>
      <c r="O70" s="129" t="str">
        <f>IF($B70="","",'Qredits maandlasten'!$C$8)</f>
        <v/>
      </c>
      <c r="P70" s="129" t="str">
        <f>IF($B70="","",'Qredits maandlasten'!$C$8*(POWER(1+'Qredits maandlasten'!$C$8,$B70-1+1)))</f>
        <v/>
      </c>
      <c r="Q70" s="129" t="str">
        <f t="shared" si="3"/>
        <v/>
      </c>
      <c r="R70" s="127"/>
      <c r="S70" s="128" t="str">
        <f t="shared" si="1"/>
        <v/>
      </c>
      <c r="T70" s="128" t="str">
        <f>IF(S70="","",J70/(POWER(1+'Qredits maandlasten'!$C$8,$B70-1+1)))</f>
        <v/>
      </c>
      <c r="U70" s="130" t="str">
        <f t="shared" si="4"/>
        <v/>
      </c>
      <c r="V70" s="128" t="str">
        <f>IF($B70="","",K70/(POWER(1+'Qredits maandlasten'!$C$8,$B70-1+1)))</f>
        <v/>
      </c>
      <c r="W70" s="127"/>
    </row>
    <row r="71" spans="1:25" s="132" customFormat="1" x14ac:dyDescent="0.2">
      <c r="A71" s="123"/>
      <c r="B71" s="124" t="str">
        <f>IF($B70="","",IF($B70+1&gt;'Qredits maandlasten'!$C$4,"",Schema!B70+1))</f>
        <v/>
      </c>
      <c r="C71" s="125" t="str">
        <f>IF($B70="","",IF($B70+1&gt;'Qredits maandlasten'!$C$4,"",EOMONTH(C70,0)+1))</f>
        <v/>
      </c>
      <c r="D71" s="123"/>
      <c r="E71" s="125" t="str">
        <f>IF($B70="","",IF($B70+1&gt;'Qredits maandlasten'!$C$4,"",F70+1))</f>
        <v/>
      </c>
      <c r="F71" s="125" t="str">
        <f>IF($B70="","",IF($B70+1&gt;'Qredits maandlasten'!$C$4,"",EOMONTH(E71,0)))</f>
        <v/>
      </c>
      <c r="G71" s="126" t="str">
        <f>IF($B70="","",IF($B70+1&gt;'Qredits maandlasten'!$C$4,"",(_xlfn.DAYS(F71,E71)+1)/DAY(F71)))</f>
        <v/>
      </c>
      <c r="H71" s="127"/>
      <c r="I71" s="128" t="str">
        <f>IF($B70="","",IF($B70+1&gt;'Qredits maandlasten'!$C$4,"",I70-J70))</f>
        <v/>
      </c>
      <c r="J71" s="128" t="str">
        <f>IF($B70="","",IF($B70+1&gt;'Qredits maandlasten'!$C$4,"",IF(B70&lt;'Qredits maandlasten'!$C$11-1,0,IF('Qredits maandlasten'!$C$10=dropdowns!$A$121,'Qredits maandlasten'!$J$3,IF('Qredits maandlasten'!$C$10=dropdowns!$A$120,IFERROR('Qredits maandlasten'!$J$3-K71,0),0)))))</f>
        <v/>
      </c>
      <c r="K71" s="128" t="str">
        <f>IF($B70="","",IF($B70+1&gt;'Qredits maandlasten'!$C$4,"",G71*I71*'Qredits maandlasten'!$C$8))</f>
        <v/>
      </c>
      <c r="L71" s="128" t="str">
        <f t="shared" si="2"/>
        <v/>
      </c>
      <c r="M71" s="128" t="str">
        <f t="shared" si="0"/>
        <v/>
      </c>
      <c r="N71" s="127"/>
      <c r="O71" s="129" t="str">
        <f>IF($B71="","",'Qredits maandlasten'!$C$8)</f>
        <v/>
      </c>
      <c r="P71" s="129" t="str">
        <f>IF($B71="","",'Qredits maandlasten'!$C$8*(POWER(1+'Qredits maandlasten'!$C$8,$B71-1+1)))</f>
        <v/>
      </c>
      <c r="Q71" s="129" t="str">
        <f t="shared" si="3"/>
        <v/>
      </c>
      <c r="R71" s="127"/>
      <c r="S71" s="128" t="str">
        <f t="shared" si="1"/>
        <v/>
      </c>
      <c r="T71" s="128" t="str">
        <f>IF(S71="","",J71/(POWER(1+'Qredits maandlasten'!$C$8,$B71-1+1)))</f>
        <v/>
      </c>
      <c r="U71" s="130" t="str">
        <f t="shared" si="4"/>
        <v/>
      </c>
      <c r="V71" s="128" t="str">
        <f>IF($B71="","",K71/(POWER(1+'Qredits maandlasten'!$C$8,$B71-1+1)))</f>
        <v/>
      </c>
      <c r="W71" s="127"/>
    </row>
    <row r="72" spans="1:25" s="132" customFormat="1" x14ac:dyDescent="0.2">
      <c r="A72" s="123"/>
      <c r="B72" s="124" t="str">
        <f>IF($B71="","",IF($B71+1&gt;'Qredits maandlasten'!$C$4,"",Schema!B71+1))</f>
        <v/>
      </c>
      <c r="C72" s="125" t="str">
        <f>IF($B71="","",IF($B71+1&gt;'Qredits maandlasten'!$C$4,"",EOMONTH(C71,0)+1))</f>
        <v/>
      </c>
      <c r="D72" s="123"/>
      <c r="E72" s="125" t="str">
        <f>IF($B71="","",IF($B71+1&gt;'Qredits maandlasten'!$C$4,"",F71+1))</f>
        <v/>
      </c>
      <c r="F72" s="125" t="str">
        <f>IF($B71="","",IF($B71+1&gt;'Qredits maandlasten'!$C$4,"",EOMONTH(E72,0)))</f>
        <v/>
      </c>
      <c r="G72" s="126" t="str">
        <f>IF($B71="","",IF($B71+1&gt;'Qredits maandlasten'!$C$4,"",(_xlfn.DAYS(F72,E72)+1)/DAY(F72)))</f>
        <v/>
      </c>
      <c r="H72" s="127"/>
      <c r="I72" s="128" t="str">
        <f>IF($B71="","",IF($B71+1&gt;'Qredits maandlasten'!$C$4,"",I71-J71))</f>
        <v/>
      </c>
      <c r="J72" s="128" t="str">
        <f>IF($B71="","",IF($B71+1&gt;'Qredits maandlasten'!$C$4,"",IF(B71&lt;'Qredits maandlasten'!$C$11-1,0,IF('Qredits maandlasten'!$C$10=dropdowns!$A$121,'Qredits maandlasten'!$J$3,IF('Qredits maandlasten'!$C$10=dropdowns!$A$120,IFERROR('Qredits maandlasten'!$J$3-K72,0),0)))))</f>
        <v/>
      </c>
      <c r="K72" s="128" t="str">
        <f>IF($B71="","",IF($B71+1&gt;'Qredits maandlasten'!$C$4,"",G72*I72*'Qredits maandlasten'!$C$8))</f>
        <v/>
      </c>
      <c r="L72" s="128" t="str">
        <f t="shared" si="2"/>
        <v/>
      </c>
      <c r="M72" s="128" t="str">
        <f t="shared" si="0"/>
        <v/>
      </c>
      <c r="N72" s="127"/>
      <c r="O72" s="129" t="str">
        <f>IF($B72="","",'Qredits maandlasten'!$C$8)</f>
        <v/>
      </c>
      <c r="P72" s="129" t="str">
        <f>IF($B72="","",'Qredits maandlasten'!$C$8*(POWER(1+'Qredits maandlasten'!$C$8,$B72-1+1)))</f>
        <v/>
      </c>
      <c r="Q72" s="129" t="str">
        <f t="shared" si="3"/>
        <v/>
      </c>
      <c r="R72" s="127"/>
      <c r="S72" s="128" t="str">
        <f t="shared" si="1"/>
        <v/>
      </c>
      <c r="T72" s="128" t="str">
        <f>IF(S72="","",J72/(POWER(1+'Qredits maandlasten'!$C$8,$B72-1+1)))</f>
        <v/>
      </c>
      <c r="U72" s="130" t="str">
        <f t="shared" si="4"/>
        <v/>
      </c>
      <c r="V72" s="128" t="str">
        <f>IF($B72="","",K72/(POWER(1+'Qredits maandlasten'!$C$8,$B72-1+1)))</f>
        <v/>
      </c>
      <c r="W72" s="127"/>
    </row>
    <row r="73" spans="1:25" s="132" customFormat="1" x14ac:dyDescent="0.2">
      <c r="A73" s="123"/>
      <c r="B73" s="124" t="str">
        <f>IF($B72="","",IF($B72+1&gt;'Qredits maandlasten'!$C$4,"",Schema!B72+1))</f>
        <v/>
      </c>
      <c r="C73" s="125" t="str">
        <f>IF($B72="","",IF($B72+1&gt;'Qredits maandlasten'!$C$4,"",EOMONTH(C72,0)+1))</f>
        <v/>
      </c>
      <c r="D73" s="123"/>
      <c r="E73" s="125" t="str">
        <f>IF($B72="","",IF($B72+1&gt;'Qredits maandlasten'!$C$4,"",F72+1))</f>
        <v/>
      </c>
      <c r="F73" s="125" t="str">
        <f>IF($B72="","",IF($B72+1&gt;'Qredits maandlasten'!$C$4,"",EOMONTH(E73,0)))</f>
        <v/>
      </c>
      <c r="G73" s="126" t="str">
        <f>IF($B72="","",IF($B72+1&gt;'Qredits maandlasten'!$C$4,"",(_xlfn.DAYS(F73,E73)+1)/DAY(F73)))</f>
        <v/>
      </c>
      <c r="H73" s="127"/>
      <c r="I73" s="128" t="str">
        <f>IF($B72="","",IF($B72+1&gt;'Qredits maandlasten'!$C$4,"",I72-J72))</f>
        <v/>
      </c>
      <c r="J73" s="128" t="str">
        <f>IF($B72="","",IF($B72+1&gt;'Qredits maandlasten'!$C$4,"",IF(B72&lt;'Qredits maandlasten'!$C$11-1,0,IF('Qredits maandlasten'!$C$10=dropdowns!$A$121,'Qredits maandlasten'!$J$3,IF('Qredits maandlasten'!$C$10=dropdowns!$A$120,IFERROR('Qredits maandlasten'!$J$3-K73,0),0)))))</f>
        <v/>
      </c>
      <c r="K73" s="128" t="str">
        <f>IF($B72="","",IF($B72+1&gt;'Qredits maandlasten'!$C$4,"",G73*I73*'Qredits maandlasten'!$C$8))</f>
        <v/>
      </c>
      <c r="L73" s="128" t="str">
        <f t="shared" si="2"/>
        <v/>
      </c>
      <c r="M73" s="128" t="str">
        <f t="shared" si="0"/>
        <v/>
      </c>
      <c r="N73" s="127"/>
      <c r="O73" s="129" t="str">
        <f>IF($B73="","",'Qredits maandlasten'!$C$8)</f>
        <v/>
      </c>
      <c r="P73" s="129" t="str">
        <f>IF($B73="","",'Qredits maandlasten'!$C$8*(POWER(1+'Qredits maandlasten'!$C$8,$B73-1+1)))</f>
        <v/>
      </c>
      <c r="Q73" s="129" t="str">
        <f t="shared" si="3"/>
        <v/>
      </c>
      <c r="R73" s="127"/>
      <c r="S73" s="128" t="str">
        <f t="shared" si="1"/>
        <v/>
      </c>
      <c r="T73" s="128" t="str">
        <f>IF(S73="","",J73/(POWER(1+'Qredits maandlasten'!$C$8,$B73-1+1)))</f>
        <v/>
      </c>
      <c r="U73" s="130" t="str">
        <f t="shared" si="4"/>
        <v/>
      </c>
      <c r="V73" s="128" t="str">
        <f>IF($B73="","",K73/(POWER(1+'Qredits maandlasten'!$C$8,$B73-1+1)))</f>
        <v/>
      </c>
      <c r="W73" s="127"/>
    </row>
    <row r="74" spans="1:25" s="132" customFormat="1" x14ac:dyDescent="0.2">
      <c r="A74" s="123"/>
      <c r="B74" s="124" t="str">
        <f>IF($B73="","",IF($B73+1&gt;'Qredits maandlasten'!$C$4,"",Schema!B73+1))</f>
        <v/>
      </c>
      <c r="C74" s="125" t="str">
        <f>IF($B73="","",IF($B73+1&gt;'Qredits maandlasten'!$C$4,"",EOMONTH(C73,0)+1))</f>
        <v/>
      </c>
      <c r="D74" s="123"/>
      <c r="E74" s="125" t="str">
        <f>IF($B73="","",IF($B73+1&gt;'Qredits maandlasten'!$C$4,"",F73+1))</f>
        <v/>
      </c>
      <c r="F74" s="125" t="str">
        <f>IF($B73="","",IF($B73+1&gt;'Qredits maandlasten'!$C$4,"",EOMONTH(E74,0)))</f>
        <v/>
      </c>
      <c r="G74" s="126" t="str">
        <f>IF($B73="","",IF($B73+1&gt;'Qredits maandlasten'!$C$4,"",(_xlfn.DAYS(F74,E74)+1)/DAY(F74)))</f>
        <v/>
      </c>
      <c r="H74" s="127"/>
      <c r="I74" s="128" t="str">
        <f>IF($B73="","",IF($B73+1&gt;'Qredits maandlasten'!$C$4,"",I73-J73))</f>
        <v/>
      </c>
      <c r="J74" s="128" t="str">
        <f>IF($B73="","",IF($B73+1&gt;'Qredits maandlasten'!$C$4,"",IF(B73&lt;'Qredits maandlasten'!$C$11-1,0,IF('Qredits maandlasten'!$C$10=dropdowns!$A$121,'Qredits maandlasten'!$J$3,IF('Qredits maandlasten'!$C$10=dropdowns!$A$120,IFERROR('Qredits maandlasten'!$J$3-K74,0),0)))))</f>
        <v/>
      </c>
      <c r="K74" s="128" t="str">
        <f>IF($B73="","",IF($B73+1&gt;'Qredits maandlasten'!$C$4,"",G74*I74*'Qredits maandlasten'!$C$8))</f>
        <v/>
      </c>
      <c r="L74" s="128" t="str">
        <f t="shared" si="2"/>
        <v/>
      </c>
      <c r="M74" s="128" t="str">
        <f t="shared" ref="M74:M137" si="5">IF(S74="","",-K74-J74)</f>
        <v/>
      </c>
      <c r="N74" s="127"/>
      <c r="O74" s="129" t="str">
        <f>IF($B74="","",'Qredits maandlasten'!$C$8)</f>
        <v/>
      </c>
      <c r="P74" s="129" t="str">
        <f>IF($B74="","",'Qredits maandlasten'!$C$8*(POWER(1+'Qredits maandlasten'!$C$8,$B74-1+1)))</f>
        <v/>
      </c>
      <c r="Q74" s="129" t="str">
        <f t="shared" si="3"/>
        <v/>
      </c>
      <c r="R74" s="127"/>
      <c r="S74" s="128" t="str">
        <f t="shared" ref="S74:S137" si="6">IF(B74="","",IF(S73-T73&lt;0,"",S73-T73))</f>
        <v/>
      </c>
      <c r="T74" s="128" t="str">
        <f>IF(S74="","",J74/(POWER(1+'Qredits maandlasten'!$C$8,$B74-1+1)))</f>
        <v/>
      </c>
      <c r="U74" s="130" t="str">
        <f t="shared" si="4"/>
        <v/>
      </c>
      <c r="V74" s="128" t="str">
        <f>IF($B74="","",K74/(POWER(1+'Qredits maandlasten'!$C$8,$B74-1+1)))</f>
        <v/>
      </c>
      <c r="W74" s="127"/>
    </row>
    <row r="75" spans="1:25" s="132" customFormat="1" x14ac:dyDescent="0.2">
      <c r="A75" s="123"/>
      <c r="B75" s="124" t="str">
        <f>IF($B74="","",IF($B74+1&gt;'Qredits maandlasten'!$C$4,"",Schema!B74+1))</f>
        <v/>
      </c>
      <c r="C75" s="125" t="str">
        <f>IF($B74="","",IF($B74+1&gt;'Qredits maandlasten'!$C$4,"",EOMONTH(C74,0)+1))</f>
        <v/>
      </c>
      <c r="D75" s="123"/>
      <c r="E75" s="125" t="str">
        <f>IF($B74="","",IF($B74+1&gt;'Qredits maandlasten'!$C$4,"",F74+1))</f>
        <v/>
      </c>
      <c r="F75" s="125" t="str">
        <f>IF($B74="","",IF($B74+1&gt;'Qredits maandlasten'!$C$4,"",EOMONTH(E75,0)))</f>
        <v/>
      </c>
      <c r="G75" s="126" t="str">
        <f>IF($B74="","",IF($B74+1&gt;'Qredits maandlasten'!$C$4,"",(_xlfn.DAYS(F75,E75)+1)/DAY(F75)))</f>
        <v/>
      </c>
      <c r="H75" s="127"/>
      <c r="I75" s="128" t="str">
        <f>IF($B74="","",IF($B74+1&gt;'Qredits maandlasten'!$C$4,"",I74-J74))</f>
        <v/>
      </c>
      <c r="J75" s="128" t="str">
        <f>IF($B74="","",IF($B74+1&gt;'Qredits maandlasten'!$C$4,"",IF(B74&lt;'Qredits maandlasten'!$C$11-1,0,IF('Qredits maandlasten'!$C$10=dropdowns!$A$121,'Qredits maandlasten'!$J$3,IF('Qredits maandlasten'!$C$10=dropdowns!$A$120,IFERROR('Qredits maandlasten'!$J$3-K75,0),0)))))</f>
        <v/>
      </c>
      <c r="K75" s="128" t="str">
        <f>IF($B74="","",IF($B74+1&gt;'Qredits maandlasten'!$C$4,"",G75*I75*'Qredits maandlasten'!$C$8))</f>
        <v/>
      </c>
      <c r="L75" s="128" t="str">
        <f t="shared" ref="L75:L138" si="7">IF(S75="","",-K75-J75)</f>
        <v/>
      </c>
      <c r="M75" s="128" t="str">
        <f t="shared" si="5"/>
        <v/>
      </c>
      <c r="N75" s="127"/>
      <c r="O75" s="129" t="str">
        <f>IF($B75="","",'Qredits maandlasten'!$C$8)</f>
        <v/>
      </c>
      <c r="P75" s="129" t="str">
        <f>IF($B75="","",'Qredits maandlasten'!$C$8*(POWER(1+'Qredits maandlasten'!$C$8,$B75-1+1)))</f>
        <v/>
      </c>
      <c r="Q75" s="129" t="str">
        <f t="shared" ref="Q75:Q138" si="8">IF($B75="","",IFERROR(J75/T75-1,0))</f>
        <v/>
      </c>
      <c r="R75" s="127"/>
      <c r="S75" s="128" t="str">
        <f t="shared" si="6"/>
        <v/>
      </c>
      <c r="T75" s="128" t="str">
        <f>IF(S75="","",J75/(POWER(1+'Qredits maandlasten'!$C$8,$B75-1+1)))</f>
        <v/>
      </c>
      <c r="U75" s="130" t="str">
        <f t="shared" ref="U75:U138" si="9">IF(S75="","",T75+V75)</f>
        <v/>
      </c>
      <c r="V75" s="128" t="str">
        <f>IF($B75="","",K75/(POWER(1+'Qredits maandlasten'!$C$8,$B75-1+1)))</f>
        <v/>
      </c>
      <c r="W75" s="127"/>
    </row>
    <row r="76" spans="1:25" s="132" customFormat="1" x14ac:dyDescent="0.2">
      <c r="A76" s="123"/>
      <c r="B76" s="124" t="str">
        <f>IF($B75="","",IF($B75+1&gt;'Qredits maandlasten'!$C$4,"",Schema!B75+1))</f>
        <v/>
      </c>
      <c r="C76" s="125" t="str">
        <f>IF($B75="","",IF($B75+1&gt;'Qredits maandlasten'!$C$4,"",EOMONTH(C75,0)+1))</f>
        <v/>
      </c>
      <c r="D76" s="123"/>
      <c r="E76" s="125" t="str">
        <f>IF($B75="","",IF($B75+1&gt;'Qredits maandlasten'!$C$4,"",F75+1))</f>
        <v/>
      </c>
      <c r="F76" s="125" t="str">
        <f>IF($B75="","",IF($B75+1&gt;'Qredits maandlasten'!$C$4,"",EOMONTH(E76,0)))</f>
        <v/>
      </c>
      <c r="G76" s="126" t="str">
        <f>IF($B75="","",IF($B75+1&gt;'Qredits maandlasten'!$C$4,"",(_xlfn.DAYS(F76,E76)+1)/DAY(F76)))</f>
        <v/>
      </c>
      <c r="H76" s="127"/>
      <c r="I76" s="128" t="str">
        <f>IF($B75="","",IF($B75+1&gt;'Qredits maandlasten'!$C$4,"",I75-J75))</f>
        <v/>
      </c>
      <c r="J76" s="128" t="str">
        <f>IF($B75="","",IF($B75+1&gt;'Qredits maandlasten'!$C$4,"",IF(B75&lt;'Qredits maandlasten'!$C$11-1,0,IF('Qredits maandlasten'!$C$10=dropdowns!$A$121,'Qredits maandlasten'!$J$3,IF('Qredits maandlasten'!$C$10=dropdowns!$A$120,IFERROR('Qredits maandlasten'!$J$3-K76,0),0)))))</f>
        <v/>
      </c>
      <c r="K76" s="128" t="str">
        <f>IF($B75="","",IF($B75+1&gt;'Qredits maandlasten'!$C$4,"",G76*I76*'Qredits maandlasten'!$C$8))</f>
        <v/>
      </c>
      <c r="L76" s="128" t="str">
        <f t="shared" si="7"/>
        <v/>
      </c>
      <c r="M76" s="128" t="str">
        <f t="shared" si="5"/>
        <v/>
      </c>
      <c r="N76" s="127"/>
      <c r="O76" s="129" t="str">
        <f>IF($B76="","",'Qredits maandlasten'!$C$8)</f>
        <v/>
      </c>
      <c r="P76" s="129" t="str">
        <f>IF($B76="","",'Qredits maandlasten'!$C$8*(POWER(1+'Qredits maandlasten'!$C$8,$B76-1+1)))</f>
        <v/>
      </c>
      <c r="Q76" s="129" t="str">
        <f t="shared" si="8"/>
        <v/>
      </c>
      <c r="R76" s="127"/>
      <c r="S76" s="128" t="str">
        <f t="shared" si="6"/>
        <v/>
      </c>
      <c r="T76" s="128" t="str">
        <f>IF(S76="","",J76/(POWER(1+'Qredits maandlasten'!$C$8,$B76-1+1)))</f>
        <v/>
      </c>
      <c r="U76" s="130" t="str">
        <f t="shared" si="9"/>
        <v/>
      </c>
      <c r="V76" s="128" t="str">
        <f>IF($B76="","",K76/(POWER(1+'Qredits maandlasten'!$C$8,$B76-1+1)))</f>
        <v/>
      </c>
      <c r="W76" s="127"/>
    </row>
    <row r="77" spans="1:25" s="132" customFormat="1" x14ac:dyDescent="0.2">
      <c r="A77" s="123"/>
      <c r="B77" s="124" t="str">
        <f>IF($B76="","",IF($B76+1&gt;'Qredits maandlasten'!$C$4,"",Schema!B76+1))</f>
        <v/>
      </c>
      <c r="C77" s="125" t="str">
        <f>IF($B76="","",IF($B76+1&gt;'Qredits maandlasten'!$C$4,"",EOMONTH(C76,0)+1))</f>
        <v/>
      </c>
      <c r="D77" s="123"/>
      <c r="E77" s="125" t="str">
        <f>IF($B76="","",IF($B76+1&gt;'Qredits maandlasten'!$C$4,"",F76+1))</f>
        <v/>
      </c>
      <c r="F77" s="125" t="str">
        <f>IF($B76="","",IF($B76+1&gt;'Qredits maandlasten'!$C$4,"",EOMONTH(E77,0)))</f>
        <v/>
      </c>
      <c r="G77" s="126" t="str">
        <f>IF($B76="","",IF($B76+1&gt;'Qredits maandlasten'!$C$4,"",(_xlfn.DAYS(F77,E77)+1)/DAY(F77)))</f>
        <v/>
      </c>
      <c r="H77" s="127"/>
      <c r="I77" s="128" t="str">
        <f>IF($B76="","",IF($B76+1&gt;'Qredits maandlasten'!$C$4,"",I76-J76))</f>
        <v/>
      </c>
      <c r="J77" s="128" t="str">
        <f>IF($B76="","",IF($B76+1&gt;'Qredits maandlasten'!$C$4,"",IF(B76&lt;'Qredits maandlasten'!$C$11-1,0,IF('Qredits maandlasten'!$C$10=dropdowns!$A$121,'Qredits maandlasten'!$J$3,IF('Qredits maandlasten'!$C$10=dropdowns!$A$120,IFERROR('Qredits maandlasten'!$J$3-K77,0),0)))))</f>
        <v/>
      </c>
      <c r="K77" s="128" t="str">
        <f>IF($B76="","",IF($B76+1&gt;'Qredits maandlasten'!$C$4,"",G77*I77*'Qredits maandlasten'!$C$8))</f>
        <v/>
      </c>
      <c r="L77" s="128" t="str">
        <f t="shared" si="7"/>
        <v/>
      </c>
      <c r="M77" s="128" t="str">
        <f t="shared" si="5"/>
        <v/>
      </c>
      <c r="N77" s="127"/>
      <c r="O77" s="129" t="str">
        <f>IF($B77="","",'Qredits maandlasten'!$C$8)</f>
        <v/>
      </c>
      <c r="P77" s="129" t="str">
        <f>IF($B77="","",'Qredits maandlasten'!$C$8*(POWER(1+'Qredits maandlasten'!$C$8,$B77-1+1)))</f>
        <v/>
      </c>
      <c r="Q77" s="129" t="str">
        <f t="shared" si="8"/>
        <v/>
      </c>
      <c r="R77" s="127"/>
      <c r="S77" s="128" t="str">
        <f t="shared" si="6"/>
        <v/>
      </c>
      <c r="T77" s="128" t="str">
        <f>IF(S77="","",J77/(POWER(1+'Qredits maandlasten'!$C$8,$B77-1+1)))</f>
        <v/>
      </c>
      <c r="U77" s="130" t="str">
        <f t="shared" si="9"/>
        <v/>
      </c>
      <c r="V77" s="128" t="str">
        <f>IF($B77="","",K77/(POWER(1+'Qredits maandlasten'!$C$8,$B77-1+1)))</f>
        <v/>
      </c>
      <c r="W77" s="127"/>
    </row>
    <row r="78" spans="1:25" s="132" customFormat="1" x14ac:dyDescent="0.2">
      <c r="A78" s="123"/>
      <c r="B78" s="124" t="str">
        <f>IF($B77="","",IF($B77+1&gt;'Qredits maandlasten'!$C$4,"",Schema!B77+1))</f>
        <v/>
      </c>
      <c r="C78" s="125" t="str">
        <f>IF($B77="","",IF($B77+1&gt;'Qredits maandlasten'!$C$4,"",EOMONTH(C77,0)+1))</f>
        <v/>
      </c>
      <c r="D78" s="123"/>
      <c r="E78" s="125" t="str">
        <f>IF($B77="","",IF($B77+1&gt;'Qredits maandlasten'!$C$4,"",F77+1))</f>
        <v/>
      </c>
      <c r="F78" s="125" t="str">
        <f>IF($B77="","",IF($B77+1&gt;'Qredits maandlasten'!$C$4,"",EOMONTH(E78,0)))</f>
        <v/>
      </c>
      <c r="G78" s="126" t="str">
        <f>IF($B77="","",IF($B77+1&gt;'Qredits maandlasten'!$C$4,"",(_xlfn.DAYS(F78,E78)+1)/DAY(F78)))</f>
        <v/>
      </c>
      <c r="H78" s="127"/>
      <c r="I78" s="128" t="str">
        <f>IF($B77="","",IF($B77+1&gt;'Qredits maandlasten'!$C$4,"",I77-J77))</f>
        <v/>
      </c>
      <c r="J78" s="128" t="str">
        <f>IF($B77="","",IF($B77+1&gt;'Qredits maandlasten'!$C$4,"",IF(B77&lt;'Qredits maandlasten'!$C$11-1,0,IF('Qredits maandlasten'!$C$10=dropdowns!$A$121,'Qredits maandlasten'!$J$3,IF('Qredits maandlasten'!$C$10=dropdowns!$A$120,IFERROR('Qredits maandlasten'!$J$3-K78,0),0)))))</f>
        <v/>
      </c>
      <c r="K78" s="128" t="str">
        <f>IF($B77="","",IF($B77+1&gt;'Qredits maandlasten'!$C$4,"",G78*I78*'Qredits maandlasten'!$C$8))</f>
        <v/>
      </c>
      <c r="L78" s="128" t="str">
        <f t="shared" si="7"/>
        <v/>
      </c>
      <c r="M78" s="128" t="str">
        <f t="shared" si="5"/>
        <v/>
      </c>
      <c r="N78" s="127"/>
      <c r="O78" s="129" t="str">
        <f>IF($B78="","",'Qredits maandlasten'!$C$8)</f>
        <v/>
      </c>
      <c r="P78" s="129" t="str">
        <f>IF($B78="","",'Qredits maandlasten'!$C$8*(POWER(1+'Qredits maandlasten'!$C$8,$B78-1+1)))</f>
        <v/>
      </c>
      <c r="Q78" s="129" t="str">
        <f t="shared" si="8"/>
        <v/>
      </c>
      <c r="R78" s="127"/>
      <c r="S78" s="128" t="str">
        <f t="shared" si="6"/>
        <v/>
      </c>
      <c r="T78" s="128" t="str">
        <f>IF(S78="","",J78/(POWER(1+'Qredits maandlasten'!$C$8,$B78-1+1)))</f>
        <v/>
      </c>
      <c r="U78" s="130" t="str">
        <f t="shared" si="9"/>
        <v/>
      </c>
      <c r="V78" s="128" t="str">
        <f>IF($B78="","",K78/(POWER(1+'Qredits maandlasten'!$C$8,$B78-1+1)))</f>
        <v/>
      </c>
      <c r="W78" s="127"/>
    </row>
    <row r="79" spans="1:25" s="132" customFormat="1" x14ac:dyDescent="0.2">
      <c r="A79" s="123"/>
      <c r="B79" s="124" t="str">
        <f>IF($B78="","",IF($B78+1&gt;'Qredits maandlasten'!$C$4,"",Schema!B78+1))</f>
        <v/>
      </c>
      <c r="C79" s="125" t="str">
        <f>IF($B78="","",IF($B78+1&gt;'Qredits maandlasten'!$C$4,"",EOMONTH(C78,0)+1))</f>
        <v/>
      </c>
      <c r="D79" s="123"/>
      <c r="E79" s="125" t="str">
        <f>IF($B78="","",IF($B78+1&gt;'Qredits maandlasten'!$C$4,"",F78+1))</f>
        <v/>
      </c>
      <c r="F79" s="125" t="str">
        <f>IF($B78="","",IF($B78+1&gt;'Qredits maandlasten'!$C$4,"",EOMONTH(E79,0)))</f>
        <v/>
      </c>
      <c r="G79" s="126" t="str">
        <f>IF($B78="","",IF($B78+1&gt;'Qredits maandlasten'!$C$4,"",(_xlfn.DAYS(F79,E79)+1)/DAY(F79)))</f>
        <v/>
      </c>
      <c r="H79" s="127"/>
      <c r="I79" s="128" t="str">
        <f>IF($B78="","",IF($B78+1&gt;'Qredits maandlasten'!$C$4,"",I78-J78))</f>
        <v/>
      </c>
      <c r="J79" s="128" t="str">
        <f>IF($B78="","",IF($B78+1&gt;'Qredits maandlasten'!$C$4,"",IF(B78&lt;'Qredits maandlasten'!$C$11-1,0,IF('Qredits maandlasten'!$C$10=dropdowns!$A$121,'Qredits maandlasten'!$J$3,IF('Qredits maandlasten'!$C$10=dropdowns!$A$120,IFERROR('Qredits maandlasten'!$J$3-K79,0),0)))))</f>
        <v/>
      </c>
      <c r="K79" s="128" t="str">
        <f>IF($B78="","",IF($B78+1&gt;'Qredits maandlasten'!$C$4,"",G79*I79*'Qredits maandlasten'!$C$8))</f>
        <v/>
      </c>
      <c r="L79" s="128" t="str">
        <f t="shared" si="7"/>
        <v/>
      </c>
      <c r="M79" s="128" t="str">
        <f t="shared" si="5"/>
        <v/>
      </c>
      <c r="N79" s="127"/>
      <c r="O79" s="129" t="str">
        <f>IF($B79="","",'Qredits maandlasten'!$C$8)</f>
        <v/>
      </c>
      <c r="P79" s="129" t="str">
        <f>IF($B79="","",'Qredits maandlasten'!$C$8*(POWER(1+'Qredits maandlasten'!$C$8,$B79-1+1)))</f>
        <v/>
      </c>
      <c r="Q79" s="129" t="str">
        <f t="shared" si="8"/>
        <v/>
      </c>
      <c r="R79" s="127"/>
      <c r="S79" s="128" t="str">
        <f t="shared" si="6"/>
        <v/>
      </c>
      <c r="T79" s="128" t="str">
        <f>IF(S79="","",J79/(POWER(1+'Qredits maandlasten'!$C$8,$B79-1+1)))</f>
        <v/>
      </c>
      <c r="U79" s="130" t="str">
        <f t="shared" si="9"/>
        <v/>
      </c>
      <c r="V79" s="128" t="str">
        <f>IF($B79="","",K79/(POWER(1+'Qredits maandlasten'!$C$8,$B79-1+1)))</f>
        <v/>
      </c>
      <c r="W79" s="127"/>
    </row>
    <row r="80" spans="1:25" s="132" customFormat="1" x14ac:dyDescent="0.2">
      <c r="A80" s="123"/>
      <c r="B80" s="124" t="str">
        <f>IF($B79="","",IF($B79+1&gt;'Qredits maandlasten'!$C$4,"",Schema!B79+1))</f>
        <v/>
      </c>
      <c r="C80" s="125" t="str">
        <f>IF($B79="","",IF($B79+1&gt;'Qredits maandlasten'!$C$4,"",EOMONTH(C79,0)+1))</f>
        <v/>
      </c>
      <c r="D80" s="123"/>
      <c r="E80" s="125" t="str">
        <f>IF($B79="","",IF($B79+1&gt;'Qredits maandlasten'!$C$4,"",F79+1))</f>
        <v/>
      </c>
      <c r="F80" s="125" t="str">
        <f>IF($B79="","",IF($B79+1&gt;'Qredits maandlasten'!$C$4,"",EOMONTH(E80,0)))</f>
        <v/>
      </c>
      <c r="G80" s="126" t="str">
        <f>IF($B79="","",IF($B79+1&gt;'Qredits maandlasten'!$C$4,"",(_xlfn.DAYS(F80,E80)+1)/DAY(F80)))</f>
        <v/>
      </c>
      <c r="H80" s="127"/>
      <c r="I80" s="128" t="str">
        <f>IF($B79="","",IF($B79+1&gt;'Qredits maandlasten'!$C$4,"",I79-J79))</f>
        <v/>
      </c>
      <c r="J80" s="128" t="str">
        <f>IF($B79="","",IF($B79+1&gt;'Qredits maandlasten'!$C$4,"",IF(B79&lt;'Qredits maandlasten'!$C$11-1,0,IF('Qredits maandlasten'!$C$10=dropdowns!$A$121,'Qredits maandlasten'!$J$3,IF('Qredits maandlasten'!$C$10=dropdowns!$A$120,IFERROR('Qredits maandlasten'!$J$3-K80,0),0)))))</f>
        <v/>
      </c>
      <c r="K80" s="128" t="str">
        <f>IF($B79="","",IF($B79+1&gt;'Qredits maandlasten'!$C$4,"",G80*I80*'Qredits maandlasten'!$C$8))</f>
        <v/>
      </c>
      <c r="L80" s="128" t="str">
        <f t="shared" si="7"/>
        <v/>
      </c>
      <c r="M80" s="128" t="str">
        <f t="shared" si="5"/>
        <v/>
      </c>
      <c r="N80" s="127"/>
      <c r="O80" s="129" t="str">
        <f>IF($B80="","",'Qredits maandlasten'!$C$8)</f>
        <v/>
      </c>
      <c r="P80" s="129" t="str">
        <f>IF($B80="","",'Qredits maandlasten'!$C$8*(POWER(1+'Qredits maandlasten'!$C$8,$B80-1+1)))</f>
        <v/>
      </c>
      <c r="Q80" s="129" t="str">
        <f t="shared" si="8"/>
        <v/>
      </c>
      <c r="R80" s="127"/>
      <c r="S80" s="128" t="str">
        <f t="shared" si="6"/>
        <v/>
      </c>
      <c r="T80" s="128" t="str">
        <f>IF(S80="","",J80/(POWER(1+'Qredits maandlasten'!$C$8,$B80-1+1)))</f>
        <v/>
      </c>
      <c r="U80" s="130" t="str">
        <f t="shared" si="9"/>
        <v/>
      </c>
      <c r="V80" s="128" t="str">
        <f>IF($B80="","",K80/(POWER(1+'Qredits maandlasten'!$C$8,$B80-1+1)))</f>
        <v/>
      </c>
      <c r="W80" s="127"/>
    </row>
    <row r="81" spans="1:23" s="132" customFormat="1" x14ac:dyDescent="0.2">
      <c r="A81" s="123"/>
      <c r="B81" s="124" t="str">
        <f>IF($B80="","",IF($B80+1&gt;'Qredits maandlasten'!$C$4,"",Schema!B80+1))</f>
        <v/>
      </c>
      <c r="C81" s="125" t="str">
        <f>IF($B80="","",IF($B80+1&gt;'Qredits maandlasten'!$C$4,"",EOMONTH(C80,0)+1))</f>
        <v/>
      </c>
      <c r="D81" s="123"/>
      <c r="E81" s="125" t="str">
        <f>IF($B80="","",IF($B80+1&gt;'Qredits maandlasten'!$C$4,"",F80+1))</f>
        <v/>
      </c>
      <c r="F81" s="125" t="str">
        <f>IF($B80="","",IF($B80+1&gt;'Qredits maandlasten'!$C$4,"",EOMONTH(E81,0)))</f>
        <v/>
      </c>
      <c r="G81" s="126" t="str">
        <f>IF($B80="","",IF($B80+1&gt;'Qredits maandlasten'!$C$4,"",(_xlfn.DAYS(F81,E81)+1)/DAY(F81)))</f>
        <v/>
      </c>
      <c r="H81" s="127"/>
      <c r="I81" s="128" t="str">
        <f>IF($B80="","",IF($B80+1&gt;'Qredits maandlasten'!$C$4,"",I80-J80))</f>
        <v/>
      </c>
      <c r="J81" s="128" t="str">
        <f>IF($B80="","",IF($B80+1&gt;'Qredits maandlasten'!$C$4,"",IF(B80&lt;'Qredits maandlasten'!$C$11-1,0,IF('Qredits maandlasten'!$C$10=dropdowns!$A$121,'Qredits maandlasten'!$J$3,IF('Qredits maandlasten'!$C$10=dropdowns!$A$120,IFERROR('Qredits maandlasten'!$J$3-K81,0),0)))))</f>
        <v/>
      </c>
      <c r="K81" s="128" t="str">
        <f>IF($B80="","",IF($B80+1&gt;'Qredits maandlasten'!$C$4,"",G81*I81*'Qredits maandlasten'!$C$8))</f>
        <v/>
      </c>
      <c r="L81" s="128" t="str">
        <f t="shared" si="7"/>
        <v/>
      </c>
      <c r="M81" s="128" t="str">
        <f t="shared" si="5"/>
        <v/>
      </c>
      <c r="N81" s="127"/>
      <c r="O81" s="129" t="str">
        <f>IF($B81="","",'Qredits maandlasten'!$C$8)</f>
        <v/>
      </c>
      <c r="P81" s="129" t="str">
        <f>IF($B81="","",'Qredits maandlasten'!$C$8*(POWER(1+'Qredits maandlasten'!$C$8,$B81-1+1)))</f>
        <v/>
      </c>
      <c r="Q81" s="129" t="str">
        <f t="shared" si="8"/>
        <v/>
      </c>
      <c r="R81" s="127"/>
      <c r="S81" s="128" t="str">
        <f t="shared" si="6"/>
        <v/>
      </c>
      <c r="T81" s="128" t="str">
        <f>IF(S81="","",J81/(POWER(1+'Qredits maandlasten'!$C$8,$B81-1+1)))</f>
        <v/>
      </c>
      <c r="U81" s="130" t="str">
        <f t="shared" si="9"/>
        <v/>
      </c>
      <c r="V81" s="128" t="str">
        <f>IF($B81="","",K81/(POWER(1+'Qredits maandlasten'!$C$8,$B81-1+1)))</f>
        <v/>
      </c>
      <c r="W81" s="127"/>
    </row>
    <row r="82" spans="1:23" s="132" customFormat="1" x14ac:dyDescent="0.2">
      <c r="A82" s="123"/>
      <c r="B82" s="124" t="str">
        <f>IF($B81="","",IF($B81+1&gt;'Qredits maandlasten'!$C$4,"",Schema!B81+1))</f>
        <v/>
      </c>
      <c r="C82" s="125" t="str">
        <f>IF($B81="","",IF($B81+1&gt;'Qredits maandlasten'!$C$4,"",EOMONTH(C81,0)+1))</f>
        <v/>
      </c>
      <c r="D82" s="123"/>
      <c r="E82" s="125" t="str">
        <f>IF($B81="","",IF($B81+1&gt;'Qredits maandlasten'!$C$4,"",F81+1))</f>
        <v/>
      </c>
      <c r="F82" s="125" t="str">
        <f>IF($B81="","",IF($B81+1&gt;'Qredits maandlasten'!$C$4,"",EOMONTH(E82,0)))</f>
        <v/>
      </c>
      <c r="G82" s="126" t="str">
        <f>IF($B81="","",IF($B81+1&gt;'Qredits maandlasten'!$C$4,"",(_xlfn.DAYS(F82,E82)+1)/DAY(F82)))</f>
        <v/>
      </c>
      <c r="H82" s="127"/>
      <c r="I82" s="128" t="str">
        <f>IF($B81="","",IF($B81+1&gt;'Qredits maandlasten'!$C$4,"",I81-J81))</f>
        <v/>
      </c>
      <c r="J82" s="128" t="str">
        <f>IF($B81="","",IF($B81+1&gt;'Qredits maandlasten'!$C$4,"",IF(B81&lt;'Qredits maandlasten'!$C$11-1,0,IF('Qredits maandlasten'!$C$10=dropdowns!$A$121,'Qredits maandlasten'!$J$3,IF('Qredits maandlasten'!$C$10=dropdowns!$A$120,IFERROR('Qredits maandlasten'!$J$3-K82,0),0)))))</f>
        <v/>
      </c>
      <c r="K82" s="128" t="str">
        <f>IF($B81="","",IF($B81+1&gt;'Qredits maandlasten'!$C$4,"",G82*I82*'Qredits maandlasten'!$C$8))</f>
        <v/>
      </c>
      <c r="L82" s="128" t="str">
        <f t="shared" si="7"/>
        <v/>
      </c>
      <c r="M82" s="128" t="str">
        <f t="shared" si="5"/>
        <v/>
      </c>
      <c r="N82" s="127"/>
      <c r="O82" s="129" t="str">
        <f>IF($B82="","",'Qredits maandlasten'!$C$8)</f>
        <v/>
      </c>
      <c r="P82" s="129" t="str">
        <f>IF($B82="","",'Qredits maandlasten'!$C$8*(POWER(1+'Qredits maandlasten'!$C$8,$B82-1+1)))</f>
        <v/>
      </c>
      <c r="Q82" s="129" t="str">
        <f t="shared" si="8"/>
        <v/>
      </c>
      <c r="R82" s="127"/>
      <c r="S82" s="128" t="str">
        <f t="shared" si="6"/>
        <v/>
      </c>
      <c r="T82" s="128" t="str">
        <f>IF(S82="","",J82/(POWER(1+'Qredits maandlasten'!$C$8,$B82-1+1)))</f>
        <v/>
      </c>
      <c r="U82" s="130" t="str">
        <f t="shared" si="9"/>
        <v/>
      </c>
      <c r="V82" s="128" t="str">
        <f>IF($B82="","",K82/(POWER(1+'Qredits maandlasten'!$C$8,$B82-1+1)))</f>
        <v/>
      </c>
      <c r="W82" s="127"/>
    </row>
    <row r="83" spans="1:23" s="132" customFormat="1" x14ac:dyDescent="0.2">
      <c r="A83" s="123"/>
      <c r="B83" s="124" t="str">
        <f>IF($B82="","",IF($B82+1&gt;'Qredits maandlasten'!$C$4,"",Schema!B82+1))</f>
        <v/>
      </c>
      <c r="C83" s="125" t="str">
        <f>IF($B82="","",IF($B82+1&gt;'Qredits maandlasten'!$C$4,"",EOMONTH(C82,0)+1))</f>
        <v/>
      </c>
      <c r="D83" s="123"/>
      <c r="E83" s="125" t="str">
        <f>IF($B82="","",IF($B82+1&gt;'Qredits maandlasten'!$C$4,"",F82+1))</f>
        <v/>
      </c>
      <c r="F83" s="125" t="str">
        <f>IF($B82="","",IF($B82+1&gt;'Qredits maandlasten'!$C$4,"",EOMONTH(E83,0)))</f>
        <v/>
      </c>
      <c r="G83" s="126" t="str">
        <f>IF($B82="","",IF($B82+1&gt;'Qredits maandlasten'!$C$4,"",(_xlfn.DAYS(F83,E83)+1)/DAY(F83)))</f>
        <v/>
      </c>
      <c r="H83" s="127"/>
      <c r="I83" s="128" t="str">
        <f>IF($B82="","",IF($B82+1&gt;'Qredits maandlasten'!$C$4,"",I82-J82))</f>
        <v/>
      </c>
      <c r="J83" s="128" t="str">
        <f>IF($B82="","",IF($B82+1&gt;'Qredits maandlasten'!$C$4,"",IF(B82&lt;'Qredits maandlasten'!$C$11-1,0,IF('Qredits maandlasten'!$C$10=dropdowns!$A$121,'Qredits maandlasten'!$J$3,IF('Qredits maandlasten'!$C$10=dropdowns!$A$120,IFERROR('Qredits maandlasten'!$J$3-K83,0),0)))))</f>
        <v/>
      </c>
      <c r="K83" s="128" t="str">
        <f>IF($B82="","",IF($B82+1&gt;'Qredits maandlasten'!$C$4,"",G83*I83*'Qredits maandlasten'!$C$8))</f>
        <v/>
      </c>
      <c r="L83" s="128" t="str">
        <f t="shared" si="7"/>
        <v/>
      </c>
      <c r="M83" s="128" t="str">
        <f t="shared" si="5"/>
        <v/>
      </c>
      <c r="N83" s="127"/>
      <c r="O83" s="129" t="str">
        <f>IF($B83="","",'Qredits maandlasten'!$C$8)</f>
        <v/>
      </c>
      <c r="P83" s="129" t="str">
        <f>IF($B83="","",'Qredits maandlasten'!$C$8*(POWER(1+'Qredits maandlasten'!$C$8,$B83-1+1)))</f>
        <v/>
      </c>
      <c r="Q83" s="129" t="str">
        <f t="shared" si="8"/>
        <v/>
      </c>
      <c r="R83" s="127"/>
      <c r="S83" s="128" t="str">
        <f t="shared" si="6"/>
        <v/>
      </c>
      <c r="T83" s="128" t="str">
        <f>IF(S83="","",J83/(POWER(1+'Qredits maandlasten'!$C$8,$B83-1+1)))</f>
        <v/>
      </c>
      <c r="U83" s="130" t="str">
        <f t="shared" si="9"/>
        <v/>
      </c>
      <c r="V83" s="128" t="str">
        <f>IF($B83="","",K83/(POWER(1+'Qredits maandlasten'!$C$8,$B83-1+1)))</f>
        <v/>
      </c>
      <c r="W83" s="127"/>
    </row>
    <row r="84" spans="1:23" s="132" customFormat="1" x14ac:dyDescent="0.2">
      <c r="A84" s="123"/>
      <c r="B84" s="124" t="str">
        <f>IF($B83="","",IF($B83+1&gt;'Qredits maandlasten'!$C$4,"",Schema!B83+1))</f>
        <v/>
      </c>
      <c r="C84" s="125" t="str">
        <f>IF($B83="","",IF($B83+1&gt;'Qredits maandlasten'!$C$4,"",EOMONTH(C83,0)+1))</f>
        <v/>
      </c>
      <c r="D84" s="123"/>
      <c r="E84" s="125" t="str">
        <f>IF($B83="","",IF($B83+1&gt;'Qredits maandlasten'!$C$4,"",F83+1))</f>
        <v/>
      </c>
      <c r="F84" s="125" t="str">
        <f>IF($B83="","",IF($B83+1&gt;'Qredits maandlasten'!$C$4,"",EOMONTH(E84,0)))</f>
        <v/>
      </c>
      <c r="G84" s="126" t="str">
        <f>IF($B83="","",IF($B83+1&gt;'Qredits maandlasten'!$C$4,"",(_xlfn.DAYS(F84,E84)+1)/DAY(F84)))</f>
        <v/>
      </c>
      <c r="H84" s="127"/>
      <c r="I84" s="128" t="str">
        <f>IF($B83="","",IF($B83+1&gt;'Qredits maandlasten'!$C$4,"",I83-J83))</f>
        <v/>
      </c>
      <c r="J84" s="128" t="str">
        <f>IF($B83="","",IF($B83+1&gt;'Qredits maandlasten'!$C$4,"",IF(B83&lt;'Qredits maandlasten'!$C$11-1,0,IF('Qredits maandlasten'!$C$10=dropdowns!$A$121,'Qredits maandlasten'!$J$3,IF('Qredits maandlasten'!$C$10=dropdowns!$A$120,IFERROR('Qredits maandlasten'!$J$3-K84,0),0)))))</f>
        <v/>
      </c>
      <c r="K84" s="128" t="str">
        <f>IF($B83="","",IF($B83+1&gt;'Qredits maandlasten'!$C$4,"",G84*I84*'Qredits maandlasten'!$C$8))</f>
        <v/>
      </c>
      <c r="L84" s="128" t="str">
        <f t="shared" si="7"/>
        <v/>
      </c>
      <c r="M84" s="128" t="str">
        <f t="shared" si="5"/>
        <v/>
      </c>
      <c r="N84" s="127"/>
      <c r="O84" s="129" t="str">
        <f>IF($B84="","",'Qredits maandlasten'!$C$8)</f>
        <v/>
      </c>
      <c r="P84" s="129" t="str">
        <f>IF($B84="","",'Qredits maandlasten'!$C$8*(POWER(1+'Qredits maandlasten'!$C$8,$B84-1+1)))</f>
        <v/>
      </c>
      <c r="Q84" s="129" t="str">
        <f t="shared" si="8"/>
        <v/>
      </c>
      <c r="R84" s="127"/>
      <c r="S84" s="128" t="str">
        <f t="shared" si="6"/>
        <v/>
      </c>
      <c r="T84" s="128" t="str">
        <f>IF(S84="","",J84/(POWER(1+'Qredits maandlasten'!$C$8,$B84-1+1)))</f>
        <v/>
      </c>
      <c r="U84" s="130" t="str">
        <f t="shared" si="9"/>
        <v/>
      </c>
      <c r="V84" s="128" t="str">
        <f>IF($B84="","",K84/(POWER(1+'Qredits maandlasten'!$C$8,$B84-1+1)))</f>
        <v/>
      </c>
      <c r="W84" s="127"/>
    </row>
    <row r="85" spans="1:23" s="132" customFormat="1" x14ac:dyDescent="0.2">
      <c r="A85" s="123"/>
      <c r="B85" s="124" t="str">
        <f>IF($B84="","",IF($B84+1&gt;'Qredits maandlasten'!$C$4,"",Schema!B84+1))</f>
        <v/>
      </c>
      <c r="C85" s="125" t="str">
        <f>IF($B84="","",IF($B84+1&gt;'Qredits maandlasten'!$C$4,"",EOMONTH(C84,0)+1))</f>
        <v/>
      </c>
      <c r="D85" s="123"/>
      <c r="E85" s="125" t="str">
        <f>IF($B84="","",IF($B84+1&gt;'Qredits maandlasten'!$C$4,"",F84+1))</f>
        <v/>
      </c>
      <c r="F85" s="125" t="str">
        <f>IF($B84="","",IF($B84+1&gt;'Qredits maandlasten'!$C$4,"",EOMONTH(E85,0)))</f>
        <v/>
      </c>
      <c r="G85" s="126" t="str">
        <f>IF($B84="","",IF($B84+1&gt;'Qredits maandlasten'!$C$4,"",(_xlfn.DAYS(F85,E85)+1)/DAY(F85)))</f>
        <v/>
      </c>
      <c r="H85" s="127"/>
      <c r="I85" s="128" t="str">
        <f>IF($B84="","",IF($B84+1&gt;'Qredits maandlasten'!$C$4,"",I84-J84))</f>
        <v/>
      </c>
      <c r="J85" s="128" t="str">
        <f>IF($B84="","",IF($B84+1&gt;'Qredits maandlasten'!$C$4,"",IF(B84&lt;'Qredits maandlasten'!$C$11-1,0,IF('Qredits maandlasten'!$C$10=dropdowns!$A$121,'Qredits maandlasten'!$J$3,IF('Qredits maandlasten'!$C$10=dropdowns!$A$120,IFERROR('Qredits maandlasten'!$J$3-K85,0),0)))))</f>
        <v/>
      </c>
      <c r="K85" s="128" t="str">
        <f>IF($B84="","",IF($B84+1&gt;'Qredits maandlasten'!$C$4,"",G85*I85*'Qredits maandlasten'!$C$8))</f>
        <v/>
      </c>
      <c r="L85" s="128" t="str">
        <f t="shared" si="7"/>
        <v/>
      </c>
      <c r="M85" s="128" t="str">
        <f t="shared" si="5"/>
        <v/>
      </c>
      <c r="N85" s="127"/>
      <c r="O85" s="129" t="str">
        <f>IF($B85="","",'Qredits maandlasten'!$C$8)</f>
        <v/>
      </c>
      <c r="P85" s="129" t="str">
        <f>IF($B85="","",'Qredits maandlasten'!$C$8*(POWER(1+'Qredits maandlasten'!$C$8,$B85-1+1)))</f>
        <v/>
      </c>
      <c r="Q85" s="129" t="str">
        <f t="shared" si="8"/>
        <v/>
      </c>
      <c r="R85" s="127"/>
      <c r="S85" s="128" t="str">
        <f t="shared" si="6"/>
        <v/>
      </c>
      <c r="T85" s="128" t="str">
        <f>IF(S85="","",J85/(POWER(1+'Qredits maandlasten'!$C$8,$B85-1+1)))</f>
        <v/>
      </c>
      <c r="U85" s="130" t="str">
        <f t="shared" si="9"/>
        <v/>
      </c>
      <c r="V85" s="128" t="str">
        <f>IF($B85="","",K85/(POWER(1+'Qredits maandlasten'!$C$8,$B85-1+1)))</f>
        <v/>
      </c>
      <c r="W85" s="127"/>
    </row>
    <row r="86" spans="1:23" s="132" customFormat="1" x14ac:dyDescent="0.2">
      <c r="A86" s="123"/>
      <c r="B86" s="124" t="str">
        <f>IF($B85="","",IF($B85+1&gt;'Qredits maandlasten'!$C$4,"",Schema!B85+1))</f>
        <v/>
      </c>
      <c r="C86" s="125" t="str">
        <f>IF($B85="","",IF($B85+1&gt;'Qredits maandlasten'!$C$4,"",EOMONTH(C85,0)+1))</f>
        <v/>
      </c>
      <c r="D86" s="123"/>
      <c r="E86" s="125" t="str">
        <f>IF($B85="","",IF($B85+1&gt;'Qredits maandlasten'!$C$4,"",F85+1))</f>
        <v/>
      </c>
      <c r="F86" s="125" t="str">
        <f>IF($B85="","",IF($B85+1&gt;'Qredits maandlasten'!$C$4,"",EOMONTH(E86,0)))</f>
        <v/>
      </c>
      <c r="G86" s="126" t="str">
        <f>IF($B85="","",IF($B85+1&gt;'Qredits maandlasten'!$C$4,"",(_xlfn.DAYS(F86,E86)+1)/DAY(F86)))</f>
        <v/>
      </c>
      <c r="H86" s="127"/>
      <c r="I86" s="128" t="str">
        <f>IF($B85="","",IF($B85+1&gt;'Qredits maandlasten'!$C$4,"",I85-J85))</f>
        <v/>
      </c>
      <c r="J86" s="128" t="str">
        <f>IF($B85="","",IF($B85+1&gt;'Qredits maandlasten'!$C$4,"",IF(B85&lt;'Qredits maandlasten'!$C$11-1,0,IF('Qredits maandlasten'!$C$10=dropdowns!$A$121,'Qredits maandlasten'!$J$3,IF('Qredits maandlasten'!$C$10=dropdowns!$A$120,IFERROR('Qredits maandlasten'!$J$3-K86,0),0)))))</f>
        <v/>
      </c>
      <c r="K86" s="128" t="str">
        <f>IF($B85="","",IF($B85+1&gt;'Qredits maandlasten'!$C$4,"",G86*I86*'Qredits maandlasten'!$C$8))</f>
        <v/>
      </c>
      <c r="L86" s="128" t="str">
        <f t="shared" si="7"/>
        <v/>
      </c>
      <c r="M86" s="128" t="str">
        <f t="shared" si="5"/>
        <v/>
      </c>
      <c r="N86" s="127"/>
      <c r="O86" s="129" t="str">
        <f>IF($B86="","",'Qredits maandlasten'!$C$8)</f>
        <v/>
      </c>
      <c r="P86" s="129" t="str">
        <f>IF($B86="","",'Qredits maandlasten'!$C$8*(POWER(1+'Qredits maandlasten'!$C$8,$B86-1+1)))</f>
        <v/>
      </c>
      <c r="Q86" s="129" t="str">
        <f t="shared" si="8"/>
        <v/>
      </c>
      <c r="R86" s="127"/>
      <c r="S86" s="128" t="str">
        <f t="shared" si="6"/>
        <v/>
      </c>
      <c r="T86" s="128" t="str">
        <f>IF(S86="","",J86/(POWER(1+'Qredits maandlasten'!$C$8,$B86-1+1)))</f>
        <v/>
      </c>
      <c r="U86" s="130" t="str">
        <f t="shared" si="9"/>
        <v/>
      </c>
      <c r="V86" s="128" t="str">
        <f>IF($B86="","",K86/(POWER(1+'Qredits maandlasten'!$C$8,$B86-1+1)))</f>
        <v/>
      </c>
      <c r="W86" s="127"/>
    </row>
    <row r="87" spans="1:23" s="132" customFormat="1" x14ac:dyDescent="0.2">
      <c r="A87" s="123"/>
      <c r="B87" s="124" t="str">
        <f>IF($B86="","",IF($B86+1&gt;'Qredits maandlasten'!$C$4,"",Schema!B86+1))</f>
        <v/>
      </c>
      <c r="C87" s="125" t="str">
        <f>IF($B86="","",IF($B86+1&gt;'Qredits maandlasten'!$C$4,"",EOMONTH(C86,0)+1))</f>
        <v/>
      </c>
      <c r="D87" s="123"/>
      <c r="E87" s="125" t="str">
        <f>IF($B86="","",IF($B86+1&gt;'Qredits maandlasten'!$C$4,"",F86+1))</f>
        <v/>
      </c>
      <c r="F87" s="125" t="str">
        <f>IF($B86="","",IF($B86+1&gt;'Qredits maandlasten'!$C$4,"",EOMONTH(E87,0)))</f>
        <v/>
      </c>
      <c r="G87" s="126" t="str">
        <f>IF($B86="","",IF($B86+1&gt;'Qredits maandlasten'!$C$4,"",(_xlfn.DAYS(F87,E87)+1)/DAY(F87)))</f>
        <v/>
      </c>
      <c r="H87" s="127"/>
      <c r="I87" s="128" t="str">
        <f>IF($B86="","",IF($B86+1&gt;'Qredits maandlasten'!$C$4,"",I86-J86))</f>
        <v/>
      </c>
      <c r="J87" s="128" t="str">
        <f>IF($B86="","",IF($B86+1&gt;'Qredits maandlasten'!$C$4,"",IF(B86&lt;'Qredits maandlasten'!$C$11-1,0,IF('Qredits maandlasten'!$C$10=dropdowns!$A$121,'Qredits maandlasten'!$J$3,IF('Qredits maandlasten'!$C$10=dropdowns!$A$120,IFERROR('Qredits maandlasten'!$J$3-K87,0),0)))))</f>
        <v/>
      </c>
      <c r="K87" s="128" t="str">
        <f>IF($B86="","",IF($B86+1&gt;'Qredits maandlasten'!$C$4,"",G87*I87*'Qredits maandlasten'!$C$8))</f>
        <v/>
      </c>
      <c r="L87" s="128" t="str">
        <f t="shared" si="7"/>
        <v/>
      </c>
      <c r="M87" s="128" t="str">
        <f t="shared" si="5"/>
        <v/>
      </c>
      <c r="N87" s="127"/>
      <c r="O87" s="129" t="str">
        <f>IF($B87="","",'Qredits maandlasten'!$C$8)</f>
        <v/>
      </c>
      <c r="P87" s="129" t="str">
        <f>IF($B87="","",'Qredits maandlasten'!$C$8*(POWER(1+'Qredits maandlasten'!$C$8,$B87-1+1)))</f>
        <v/>
      </c>
      <c r="Q87" s="129" t="str">
        <f t="shared" si="8"/>
        <v/>
      </c>
      <c r="R87" s="127"/>
      <c r="S87" s="128" t="str">
        <f t="shared" si="6"/>
        <v/>
      </c>
      <c r="T87" s="128" t="str">
        <f>IF(S87="","",J87/(POWER(1+'Qredits maandlasten'!$C$8,$B87-1+1)))</f>
        <v/>
      </c>
      <c r="U87" s="130" t="str">
        <f t="shared" si="9"/>
        <v/>
      </c>
      <c r="V87" s="128" t="str">
        <f>IF($B87="","",K87/(POWER(1+'Qredits maandlasten'!$C$8,$B87-1+1)))</f>
        <v/>
      </c>
      <c r="W87" s="127"/>
    </row>
    <row r="88" spans="1:23" s="132" customFormat="1" x14ac:dyDescent="0.2">
      <c r="A88" s="123"/>
      <c r="B88" s="124" t="str">
        <f>IF($B87="","",IF($B87+1&gt;'Qredits maandlasten'!$C$4,"",Schema!B87+1))</f>
        <v/>
      </c>
      <c r="C88" s="125" t="str">
        <f>IF($B87="","",IF($B87+1&gt;'Qredits maandlasten'!$C$4,"",EOMONTH(C87,0)+1))</f>
        <v/>
      </c>
      <c r="D88" s="123"/>
      <c r="E88" s="125" t="str">
        <f>IF($B87="","",IF($B87+1&gt;'Qredits maandlasten'!$C$4,"",F87+1))</f>
        <v/>
      </c>
      <c r="F88" s="125" t="str">
        <f>IF($B87="","",IF($B87+1&gt;'Qredits maandlasten'!$C$4,"",EOMONTH(E88,0)))</f>
        <v/>
      </c>
      <c r="G88" s="126" t="str">
        <f>IF($B87="","",IF($B87+1&gt;'Qredits maandlasten'!$C$4,"",(_xlfn.DAYS(F88,E88)+1)/DAY(F88)))</f>
        <v/>
      </c>
      <c r="H88" s="127"/>
      <c r="I88" s="128" t="str">
        <f>IF($B87="","",IF($B87+1&gt;'Qredits maandlasten'!$C$4,"",I87-J87))</f>
        <v/>
      </c>
      <c r="J88" s="128" t="str">
        <f>IF($B87="","",IF($B87+1&gt;'Qredits maandlasten'!$C$4,"",IF(B87&lt;'Qredits maandlasten'!$C$11-1,0,IF('Qredits maandlasten'!$C$10=dropdowns!$A$121,'Qredits maandlasten'!$J$3,IF('Qredits maandlasten'!$C$10=dropdowns!$A$120,IFERROR('Qredits maandlasten'!$J$3-K88,0),0)))))</f>
        <v/>
      </c>
      <c r="K88" s="128" t="str">
        <f>IF($B87="","",IF($B87+1&gt;'Qredits maandlasten'!$C$4,"",G88*I88*'Qredits maandlasten'!$C$8))</f>
        <v/>
      </c>
      <c r="L88" s="128" t="str">
        <f t="shared" si="7"/>
        <v/>
      </c>
      <c r="M88" s="128" t="str">
        <f t="shared" si="5"/>
        <v/>
      </c>
      <c r="N88" s="127"/>
      <c r="O88" s="129" t="str">
        <f>IF($B88="","",'Qredits maandlasten'!$C$8)</f>
        <v/>
      </c>
      <c r="P88" s="129" t="str">
        <f>IF($B88="","",'Qredits maandlasten'!$C$8*(POWER(1+'Qredits maandlasten'!$C$8,$B88-1+1)))</f>
        <v/>
      </c>
      <c r="Q88" s="129" t="str">
        <f t="shared" si="8"/>
        <v/>
      </c>
      <c r="R88" s="127"/>
      <c r="S88" s="128" t="str">
        <f t="shared" si="6"/>
        <v/>
      </c>
      <c r="T88" s="128" t="str">
        <f>IF(S88="","",J88/(POWER(1+'Qredits maandlasten'!$C$8,$B88-1+1)))</f>
        <v/>
      </c>
      <c r="U88" s="130" t="str">
        <f t="shared" si="9"/>
        <v/>
      </c>
      <c r="V88" s="128" t="str">
        <f>IF($B88="","",K88/(POWER(1+'Qredits maandlasten'!$C$8,$B88-1+1)))</f>
        <v/>
      </c>
      <c r="W88" s="127"/>
    </row>
    <row r="89" spans="1:23" s="132" customFormat="1" x14ac:dyDescent="0.2">
      <c r="A89" s="123"/>
      <c r="B89" s="124" t="str">
        <f>IF($B88="","",IF($B88+1&gt;'Qredits maandlasten'!$C$4,"",Schema!B88+1))</f>
        <v/>
      </c>
      <c r="C89" s="125" t="str">
        <f>IF($B88="","",IF($B88+1&gt;'Qredits maandlasten'!$C$4,"",EOMONTH(C88,0)+1))</f>
        <v/>
      </c>
      <c r="D89" s="123"/>
      <c r="E89" s="125" t="str">
        <f>IF($B88="","",IF($B88+1&gt;'Qredits maandlasten'!$C$4,"",F88+1))</f>
        <v/>
      </c>
      <c r="F89" s="125" t="str">
        <f>IF($B88="","",IF($B88+1&gt;'Qredits maandlasten'!$C$4,"",EOMONTH(E89,0)))</f>
        <v/>
      </c>
      <c r="G89" s="126" t="str">
        <f>IF($B88="","",IF($B88+1&gt;'Qredits maandlasten'!$C$4,"",(_xlfn.DAYS(F89,E89)+1)/DAY(F89)))</f>
        <v/>
      </c>
      <c r="H89" s="127"/>
      <c r="I89" s="128" t="str">
        <f>IF($B88="","",IF($B88+1&gt;'Qredits maandlasten'!$C$4,"",I88-J88))</f>
        <v/>
      </c>
      <c r="J89" s="128" t="str">
        <f>IF($B88="","",IF($B88+1&gt;'Qredits maandlasten'!$C$4,"",IF(B88&lt;'Qredits maandlasten'!$C$11-1,0,IF('Qredits maandlasten'!$C$10=dropdowns!$A$121,'Qredits maandlasten'!$J$3,IF('Qredits maandlasten'!$C$10=dropdowns!$A$120,IFERROR('Qredits maandlasten'!$J$3-K89,0),0)))))</f>
        <v/>
      </c>
      <c r="K89" s="128" t="str">
        <f>IF($B88="","",IF($B88+1&gt;'Qredits maandlasten'!$C$4,"",G89*I89*'Qredits maandlasten'!$C$8))</f>
        <v/>
      </c>
      <c r="L89" s="128" t="str">
        <f t="shared" si="7"/>
        <v/>
      </c>
      <c r="M89" s="128" t="str">
        <f t="shared" si="5"/>
        <v/>
      </c>
      <c r="N89" s="127"/>
      <c r="O89" s="129" t="str">
        <f>IF($B89="","",'Qredits maandlasten'!$C$8)</f>
        <v/>
      </c>
      <c r="P89" s="129" t="str">
        <f>IF($B89="","",'Qredits maandlasten'!$C$8*(POWER(1+'Qredits maandlasten'!$C$8,$B89-1+1)))</f>
        <v/>
      </c>
      <c r="Q89" s="129" t="str">
        <f t="shared" si="8"/>
        <v/>
      </c>
      <c r="R89" s="127"/>
      <c r="S89" s="128" t="str">
        <f t="shared" si="6"/>
        <v/>
      </c>
      <c r="T89" s="128" t="str">
        <f>IF(S89="","",J89/(POWER(1+'Qredits maandlasten'!$C$8,$B89-1+1)))</f>
        <v/>
      </c>
      <c r="U89" s="130" t="str">
        <f t="shared" si="9"/>
        <v/>
      </c>
      <c r="V89" s="128" t="str">
        <f>IF($B89="","",K89/(POWER(1+'Qredits maandlasten'!$C$8,$B89-1+1)))</f>
        <v/>
      </c>
      <c r="W89" s="127"/>
    </row>
    <row r="90" spans="1:23" s="132" customFormat="1" x14ac:dyDescent="0.2">
      <c r="A90" s="123"/>
      <c r="B90" s="124" t="str">
        <f>IF($B89="","",IF($B89+1&gt;'Qredits maandlasten'!$C$4,"",Schema!B89+1))</f>
        <v/>
      </c>
      <c r="C90" s="125" t="str">
        <f>IF($B89="","",IF($B89+1&gt;'Qredits maandlasten'!$C$4,"",EOMONTH(C89,0)+1))</f>
        <v/>
      </c>
      <c r="D90" s="123"/>
      <c r="E90" s="125" t="str">
        <f>IF($B89="","",IF($B89+1&gt;'Qredits maandlasten'!$C$4,"",F89+1))</f>
        <v/>
      </c>
      <c r="F90" s="125" t="str">
        <f>IF($B89="","",IF($B89+1&gt;'Qredits maandlasten'!$C$4,"",EOMONTH(E90,0)))</f>
        <v/>
      </c>
      <c r="G90" s="126" t="str">
        <f>IF($B89="","",IF($B89+1&gt;'Qredits maandlasten'!$C$4,"",(_xlfn.DAYS(F90,E90)+1)/DAY(F90)))</f>
        <v/>
      </c>
      <c r="H90" s="127"/>
      <c r="I90" s="128" t="str">
        <f>IF($B89="","",IF($B89+1&gt;'Qredits maandlasten'!$C$4,"",I89-J89))</f>
        <v/>
      </c>
      <c r="J90" s="128" t="str">
        <f>IF($B89="","",IF($B89+1&gt;'Qredits maandlasten'!$C$4,"",IF(B89&lt;'Qredits maandlasten'!$C$11-1,0,IF('Qredits maandlasten'!$C$10=dropdowns!$A$121,'Qredits maandlasten'!$J$3,IF('Qredits maandlasten'!$C$10=dropdowns!$A$120,IFERROR('Qredits maandlasten'!$J$3-K90,0),0)))))</f>
        <v/>
      </c>
      <c r="K90" s="128" t="str">
        <f>IF($B89="","",IF($B89+1&gt;'Qredits maandlasten'!$C$4,"",G90*I90*'Qredits maandlasten'!$C$8))</f>
        <v/>
      </c>
      <c r="L90" s="128" t="str">
        <f t="shared" si="7"/>
        <v/>
      </c>
      <c r="M90" s="128" t="str">
        <f t="shared" si="5"/>
        <v/>
      </c>
      <c r="N90" s="127"/>
      <c r="O90" s="129" t="str">
        <f>IF($B90="","",'Qredits maandlasten'!$C$8)</f>
        <v/>
      </c>
      <c r="P90" s="129" t="str">
        <f>IF($B90="","",'Qredits maandlasten'!$C$8*(POWER(1+'Qredits maandlasten'!$C$8,$B90-1+1)))</f>
        <v/>
      </c>
      <c r="Q90" s="129" t="str">
        <f t="shared" si="8"/>
        <v/>
      </c>
      <c r="R90" s="127"/>
      <c r="S90" s="128" t="str">
        <f t="shared" si="6"/>
        <v/>
      </c>
      <c r="T90" s="128" t="str">
        <f>IF(S90="","",J90/(POWER(1+'Qredits maandlasten'!$C$8,$B90-1+1)))</f>
        <v/>
      </c>
      <c r="U90" s="130" t="str">
        <f t="shared" si="9"/>
        <v/>
      </c>
      <c r="V90" s="128" t="str">
        <f>IF($B90="","",K90/(POWER(1+'Qredits maandlasten'!$C$8,$B90-1+1)))</f>
        <v/>
      </c>
      <c r="W90" s="127"/>
    </row>
    <row r="91" spans="1:23" s="132" customFormat="1" x14ac:dyDescent="0.2">
      <c r="A91" s="123"/>
      <c r="B91" s="124" t="str">
        <f>IF($B90="","",IF($B90+1&gt;'Qredits maandlasten'!$C$4,"",Schema!B90+1))</f>
        <v/>
      </c>
      <c r="C91" s="125" t="str">
        <f>IF($B90="","",IF($B90+1&gt;'Qredits maandlasten'!$C$4,"",EOMONTH(C90,0)+1))</f>
        <v/>
      </c>
      <c r="D91" s="123"/>
      <c r="E91" s="125" t="str">
        <f>IF($B90="","",IF($B90+1&gt;'Qredits maandlasten'!$C$4,"",F90+1))</f>
        <v/>
      </c>
      <c r="F91" s="125" t="str">
        <f>IF($B90="","",IF($B90+1&gt;'Qredits maandlasten'!$C$4,"",EOMONTH(E91,0)))</f>
        <v/>
      </c>
      <c r="G91" s="126" t="str">
        <f>IF($B90="","",IF($B90+1&gt;'Qredits maandlasten'!$C$4,"",(_xlfn.DAYS(F91,E91)+1)/DAY(F91)))</f>
        <v/>
      </c>
      <c r="H91" s="127"/>
      <c r="I91" s="128" t="str">
        <f>IF($B90="","",IF($B90+1&gt;'Qredits maandlasten'!$C$4,"",I90-J90))</f>
        <v/>
      </c>
      <c r="J91" s="128" t="str">
        <f>IF($B90="","",IF($B90+1&gt;'Qredits maandlasten'!$C$4,"",IF(B90&lt;'Qredits maandlasten'!$C$11-1,0,IF('Qredits maandlasten'!$C$10=dropdowns!$A$121,'Qredits maandlasten'!$J$3,IF('Qredits maandlasten'!$C$10=dropdowns!$A$120,IFERROR('Qredits maandlasten'!$J$3-K91,0),0)))))</f>
        <v/>
      </c>
      <c r="K91" s="128" t="str">
        <f>IF($B90="","",IF($B90+1&gt;'Qredits maandlasten'!$C$4,"",G91*I91*'Qredits maandlasten'!$C$8))</f>
        <v/>
      </c>
      <c r="L91" s="128" t="str">
        <f t="shared" si="7"/>
        <v/>
      </c>
      <c r="M91" s="128" t="str">
        <f t="shared" si="5"/>
        <v/>
      </c>
      <c r="N91" s="127"/>
      <c r="O91" s="129" t="str">
        <f>IF($B91="","",'Qredits maandlasten'!$C$8)</f>
        <v/>
      </c>
      <c r="P91" s="129" t="str">
        <f>IF($B91="","",'Qredits maandlasten'!$C$8*(POWER(1+'Qredits maandlasten'!$C$8,$B91-1+1)))</f>
        <v/>
      </c>
      <c r="Q91" s="129" t="str">
        <f t="shared" si="8"/>
        <v/>
      </c>
      <c r="R91" s="127"/>
      <c r="S91" s="128" t="str">
        <f t="shared" si="6"/>
        <v/>
      </c>
      <c r="T91" s="128" t="str">
        <f>IF(S91="","",J91/(POWER(1+'Qredits maandlasten'!$C$8,$B91-1+1)))</f>
        <v/>
      </c>
      <c r="U91" s="130" t="str">
        <f t="shared" si="9"/>
        <v/>
      </c>
      <c r="V91" s="128" t="str">
        <f>IF($B91="","",K91/(POWER(1+'Qredits maandlasten'!$C$8,$B91-1+1)))</f>
        <v/>
      </c>
      <c r="W91" s="127"/>
    </row>
    <row r="92" spans="1:23" s="132" customFormat="1" x14ac:dyDescent="0.2">
      <c r="A92" s="123"/>
      <c r="B92" s="124" t="str">
        <f>IF($B91="","",IF($B91+1&gt;'Qredits maandlasten'!$C$4,"",Schema!B91+1))</f>
        <v/>
      </c>
      <c r="C92" s="125" t="str">
        <f>IF($B91="","",IF($B91+1&gt;'Qredits maandlasten'!$C$4,"",EOMONTH(C91,0)+1))</f>
        <v/>
      </c>
      <c r="D92" s="123"/>
      <c r="E92" s="125" t="str">
        <f>IF($B91="","",IF($B91+1&gt;'Qredits maandlasten'!$C$4,"",F91+1))</f>
        <v/>
      </c>
      <c r="F92" s="125" t="str">
        <f>IF($B91="","",IF($B91+1&gt;'Qredits maandlasten'!$C$4,"",EOMONTH(E92,0)))</f>
        <v/>
      </c>
      <c r="G92" s="126" t="str">
        <f>IF($B91="","",IF($B91+1&gt;'Qredits maandlasten'!$C$4,"",(_xlfn.DAYS(F92,E92)+1)/DAY(F92)))</f>
        <v/>
      </c>
      <c r="H92" s="127"/>
      <c r="I92" s="128" t="str">
        <f>IF($B91="","",IF($B91+1&gt;'Qredits maandlasten'!$C$4,"",I91-J91))</f>
        <v/>
      </c>
      <c r="J92" s="128" t="str">
        <f>IF($B91="","",IF($B91+1&gt;'Qredits maandlasten'!$C$4,"",IF(B91&lt;'Qredits maandlasten'!$C$11-1,0,IF('Qredits maandlasten'!$C$10=dropdowns!$A$121,'Qredits maandlasten'!$J$3,IF('Qredits maandlasten'!$C$10=dropdowns!$A$120,IFERROR('Qredits maandlasten'!$J$3-K92,0),0)))))</f>
        <v/>
      </c>
      <c r="K92" s="128" t="str">
        <f>IF($B91="","",IF($B91+1&gt;'Qredits maandlasten'!$C$4,"",G92*I92*'Qredits maandlasten'!$C$8))</f>
        <v/>
      </c>
      <c r="L92" s="128" t="str">
        <f t="shared" si="7"/>
        <v/>
      </c>
      <c r="M92" s="128" t="str">
        <f t="shared" si="5"/>
        <v/>
      </c>
      <c r="N92" s="127"/>
      <c r="O92" s="129" t="str">
        <f>IF($B92="","",'Qredits maandlasten'!$C$8)</f>
        <v/>
      </c>
      <c r="P92" s="129" t="str">
        <f>IF($B92="","",'Qredits maandlasten'!$C$8*(POWER(1+'Qredits maandlasten'!$C$8,$B92-1+1)))</f>
        <v/>
      </c>
      <c r="Q92" s="129" t="str">
        <f t="shared" si="8"/>
        <v/>
      </c>
      <c r="R92" s="127"/>
      <c r="S92" s="128" t="str">
        <f t="shared" si="6"/>
        <v/>
      </c>
      <c r="T92" s="128" t="str">
        <f>IF(S92="","",J92/(POWER(1+'Qredits maandlasten'!$C$8,$B92-1+1)))</f>
        <v/>
      </c>
      <c r="U92" s="130" t="str">
        <f t="shared" si="9"/>
        <v/>
      </c>
      <c r="V92" s="128" t="str">
        <f>IF($B92="","",K92/(POWER(1+'Qredits maandlasten'!$C$8,$B92-1+1)))</f>
        <v/>
      </c>
      <c r="W92" s="127"/>
    </row>
    <row r="93" spans="1:23" s="132" customFormat="1" x14ac:dyDescent="0.2">
      <c r="A93" s="123"/>
      <c r="B93" s="124" t="str">
        <f>IF($B92="","",IF($B92+1&gt;'Qredits maandlasten'!$C$4,"",Schema!B92+1))</f>
        <v/>
      </c>
      <c r="C93" s="125" t="str">
        <f>IF($B92="","",IF($B92+1&gt;'Qredits maandlasten'!$C$4,"",EOMONTH(C92,0)+1))</f>
        <v/>
      </c>
      <c r="D93" s="123"/>
      <c r="E93" s="125" t="str">
        <f>IF($B92="","",IF($B92+1&gt;'Qredits maandlasten'!$C$4,"",F92+1))</f>
        <v/>
      </c>
      <c r="F93" s="125" t="str">
        <f>IF($B92="","",IF($B92+1&gt;'Qredits maandlasten'!$C$4,"",EOMONTH(E93,0)))</f>
        <v/>
      </c>
      <c r="G93" s="126" t="str">
        <f>IF($B92="","",IF($B92+1&gt;'Qredits maandlasten'!$C$4,"",(_xlfn.DAYS(F93,E93)+1)/DAY(F93)))</f>
        <v/>
      </c>
      <c r="H93" s="127"/>
      <c r="I93" s="128" t="str">
        <f>IF($B92="","",IF($B92+1&gt;'Qredits maandlasten'!$C$4,"",I92-J92))</f>
        <v/>
      </c>
      <c r="J93" s="128" t="str">
        <f>IF($B92="","",IF($B92+1&gt;'Qredits maandlasten'!$C$4,"",IF(B92&lt;'Qredits maandlasten'!$C$11-1,0,IF('Qredits maandlasten'!$C$10=dropdowns!$A$121,'Qredits maandlasten'!$J$3,IF('Qredits maandlasten'!$C$10=dropdowns!$A$120,IFERROR('Qredits maandlasten'!$J$3-K93,0),0)))))</f>
        <v/>
      </c>
      <c r="K93" s="128" t="str">
        <f>IF($B92="","",IF($B92+1&gt;'Qredits maandlasten'!$C$4,"",G93*I93*'Qredits maandlasten'!$C$8))</f>
        <v/>
      </c>
      <c r="L93" s="128" t="str">
        <f t="shared" si="7"/>
        <v/>
      </c>
      <c r="M93" s="128" t="str">
        <f t="shared" si="5"/>
        <v/>
      </c>
      <c r="N93" s="127"/>
      <c r="O93" s="129" t="str">
        <f>IF($B93="","",'Qredits maandlasten'!$C$8)</f>
        <v/>
      </c>
      <c r="P93" s="129" t="str">
        <f>IF($B93="","",'Qredits maandlasten'!$C$8*(POWER(1+'Qredits maandlasten'!$C$8,$B93-1+1)))</f>
        <v/>
      </c>
      <c r="Q93" s="129" t="str">
        <f t="shared" si="8"/>
        <v/>
      </c>
      <c r="R93" s="127"/>
      <c r="S93" s="128" t="str">
        <f t="shared" si="6"/>
        <v/>
      </c>
      <c r="T93" s="128" t="str">
        <f>IF(S93="","",J93/(POWER(1+'Qredits maandlasten'!$C$8,$B93-1+1)))</f>
        <v/>
      </c>
      <c r="U93" s="130" t="str">
        <f t="shared" si="9"/>
        <v/>
      </c>
      <c r="V93" s="128" t="str">
        <f>IF($B93="","",K93/(POWER(1+'Qredits maandlasten'!$C$8,$B93-1+1)))</f>
        <v/>
      </c>
      <c r="W93" s="127"/>
    </row>
    <row r="94" spans="1:23" s="132" customFormat="1" x14ac:dyDescent="0.2">
      <c r="A94" s="123"/>
      <c r="B94" s="124" t="str">
        <f>IF($B93="","",IF($B93+1&gt;'Qredits maandlasten'!$C$4,"",Schema!B93+1))</f>
        <v/>
      </c>
      <c r="C94" s="125" t="str">
        <f>IF($B93="","",IF($B93+1&gt;'Qredits maandlasten'!$C$4,"",EOMONTH(C93,0)+1))</f>
        <v/>
      </c>
      <c r="D94" s="123"/>
      <c r="E94" s="125" t="str">
        <f>IF($B93="","",IF($B93+1&gt;'Qredits maandlasten'!$C$4,"",F93+1))</f>
        <v/>
      </c>
      <c r="F94" s="125" t="str">
        <f>IF($B93="","",IF($B93+1&gt;'Qredits maandlasten'!$C$4,"",EOMONTH(E94,0)))</f>
        <v/>
      </c>
      <c r="G94" s="126" t="str">
        <f>IF($B93="","",IF($B93+1&gt;'Qredits maandlasten'!$C$4,"",(_xlfn.DAYS(F94,E94)+1)/DAY(F94)))</f>
        <v/>
      </c>
      <c r="H94" s="127"/>
      <c r="I94" s="128" t="str">
        <f>IF($B93="","",IF($B93+1&gt;'Qredits maandlasten'!$C$4,"",I93-J93))</f>
        <v/>
      </c>
      <c r="J94" s="128" t="str">
        <f>IF($B93="","",IF($B93+1&gt;'Qredits maandlasten'!$C$4,"",IF(B93&lt;'Qredits maandlasten'!$C$11-1,0,IF('Qredits maandlasten'!$C$10=dropdowns!$A$121,'Qredits maandlasten'!$J$3,IF('Qredits maandlasten'!$C$10=dropdowns!$A$120,IFERROR('Qredits maandlasten'!$J$3-K94,0),0)))))</f>
        <v/>
      </c>
      <c r="K94" s="128" t="str">
        <f>IF($B93="","",IF($B93+1&gt;'Qredits maandlasten'!$C$4,"",G94*I94*'Qredits maandlasten'!$C$8))</f>
        <v/>
      </c>
      <c r="L94" s="128" t="str">
        <f t="shared" si="7"/>
        <v/>
      </c>
      <c r="M94" s="128" t="str">
        <f t="shared" si="5"/>
        <v/>
      </c>
      <c r="N94" s="127"/>
      <c r="O94" s="129" t="str">
        <f>IF($B94="","",'Qredits maandlasten'!$C$8)</f>
        <v/>
      </c>
      <c r="P94" s="129" t="str">
        <f>IF($B94="","",'Qredits maandlasten'!$C$8*(POWER(1+'Qredits maandlasten'!$C$8,$B94-1+1)))</f>
        <v/>
      </c>
      <c r="Q94" s="129" t="str">
        <f t="shared" si="8"/>
        <v/>
      </c>
      <c r="R94" s="127"/>
      <c r="S94" s="128" t="str">
        <f t="shared" si="6"/>
        <v/>
      </c>
      <c r="T94" s="128" t="str">
        <f>IF(S94="","",J94/(POWER(1+'Qredits maandlasten'!$C$8,$B94-1+1)))</f>
        <v/>
      </c>
      <c r="U94" s="130" t="str">
        <f t="shared" si="9"/>
        <v/>
      </c>
      <c r="V94" s="128" t="str">
        <f>IF($B94="","",K94/(POWER(1+'Qredits maandlasten'!$C$8,$B94-1+1)))</f>
        <v/>
      </c>
      <c r="W94" s="127"/>
    </row>
    <row r="95" spans="1:23" s="132" customFormat="1" x14ac:dyDescent="0.2">
      <c r="A95" s="123"/>
      <c r="B95" s="124" t="str">
        <f>IF($B94="","",IF($B94+1&gt;'Qredits maandlasten'!$C$4,"",Schema!B94+1))</f>
        <v/>
      </c>
      <c r="C95" s="125" t="str">
        <f>IF($B94="","",IF($B94+1&gt;'Qredits maandlasten'!$C$4,"",EOMONTH(C94,0)+1))</f>
        <v/>
      </c>
      <c r="D95" s="123"/>
      <c r="E95" s="125" t="str">
        <f>IF($B94="","",IF($B94+1&gt;'Qredits maandlasten'!$C$4,"",F94+1))</f>
        <v/>
      </c>
      <c r="F95" s="125" t="str">
        <f>IF($B94="","",IF($B94+1&gt;'Qredits maandlasten'!$C$4,"",EOMONTH(E95,0)))</f>
        <v/>
      </c>
      <c r="G95" s="126" t="str">
        <f>IF($B94="","",IF($B94+1&gt;'Qredits maandlasten'!$C$4,"",(_xlfn.DAYS(F95,E95)+1)/DAY(F95)))</f>
        <v/>
      </c>
      <c r="H95" s="127"/>
      <c r="I95" s="128" t="str">
        <f>IF($B94="","",IF($B94+1&gt;'Qredits maandlasten'!$C$4,"",I94-J94))</f>
        <v/>
      </c>
      <c r="J95" s="128" t="str">
        <f>IF($B94="","",IF($B94+1&gt;'Qredits maandlasten'!$C$4,"",IF(B94&lt;'Qredits maandlasten'!$C$11-1,0,IF('Qredits maandlasten'!$C$10=dropdowns!$A$121,'Qredits maandlasten'!$J$3,IF('Qredits maandlasten'!$C$10=dropdowns!$A$120,IFERROR('Qredits maandlasten'!$J$3-K95,0),0)))))</f>
        <v/>
      </c>
      <c r="K95" s="128" t="str">
        <f>IF($B94="","",IF($B94+1&gt;'Qredits maandlasten'!$C$4,"",G95*I95*'Qredits maandlasten'!$C$8))</f>
        <v/>
      </c>
      <c r="L95" s="128" t="str">
        <f t="shared" si="7"/>
        <v/>
      </c>
      <c r="M95" s="128" t="str">
        <f t="shared" si="5"/>
        <v/>
      </c>
      <c r="N95" s="127"/>
      <c r="O95" s="129" t="str">
        <f>IF($B95="","",'Qredits maandlasten'!$C$8)</f>
        <v/>
      </c>
      <c r="P95" s="129" t="str">
        <f>IF($B95="","",'Qredits maandlasten'!$C$8*(POWER(1+'Qredits maandlasten'!$C$8,$B95-1+1)))</f>
        <v/>
      </c>
      <c r="Q95" s="129" t="str">
        <f t="shared" si="8"/>
        <v/>
      </c>
      <c r="R95" s="127"/>
      <c r="S95" s="128" t="str">
        <f t="shared" si="6"/>
        <v/>
      </c>
      <c r="T95" s="128" t="str">
        <f>IF(S95="","",J95/(POWER(1+'Qredits maandlasten'!$C$8,$B95-1+1)))</f>
        <v/>
      </c>
      <c r="U95" s="130" t="str">
        <f t="shared" si="9"/>
        <v/>
      </c>
      <c r="V95" s="128" t="str">
        <f>IF($B95="","",K95/(POWER(1+'Qredits maandlasten'!$C$8,$B95-1+1)))</f>
        <v/>
      </c>
      <c r="W95" s="127"/>
    </row>
    <row r="96" spans="1:23" s="132" customFormat="1" x14ac:dyDescent="0.2">
      <c r="A96" s="123"/>
      <c r="B96" s="124" t="str">
        <f>IF($B95="","",IF($B95+1&gt;'Qredits maandlasten'!$C$4,"",Schema!B95+1))</f>
        <v/>
      </c>
      <c r="C96" s="125" t="str">
        <f>IF($B95="","",IF($B95+1&gt;'Qredits maandlasten'!$C$4,"",EOMONTH(C95,0)+1))</f>
        <v/>
      </c>
      <c r="D96" s="123"/>
      <c r="E96" s="125" t="str">
        <f>IF($B95="","",IF($B95+1&gt;'Qredits maandlasten'!$C$4,"",F95+1))</f>
        <v/>
      </c>
      <c r="F96" s="125" t="str">
        <f>IF($B95="","",IF($B95+1&gt;'Qredits maandlasten'!$C$4,"",EOMONTH(E96,0)))</f>
        <v/>
      </c>
      <c r="G96" s="126" t="str">
        <f>IF($B95="","",IF($B95+1&gt;'Qredits maandlasten'!$C$4,"",(_xlfn.DAYS(F96,E96)+1)/DAY(F96)))</f>
        <v/>
      </c>
      <c r="H96" s="127"/>
      <c r="I96" s="128" t="str">
        <f>IF($B95="","",IF($B95+1&gt;'Qredits maandlasten'!$C$4,"",I95-J95))</f>
        <v/>
      </c>
      <c r="J96" s="128" t="str">
        <f>IF($B95="","",IF($B95+1&gt;'Qredits maandlasten'!$C$4,"",IF(B95&lt;'Qredits maandlasten'!$C$11-1,0,IF('Qredits maandlasten'!$C$10=dropdowns!$A$121,'Qredits maandlasten'!$J$3,IF('Qredits maandlasten'!$C$10=dropdowns!$A$120,IFERROR('Qredits maandlasten'!$J$3-K96,0),0)))))</f>
        <v/>
      </c>
      <c r="K96" s="128" t="str">
        <f>IF($B95="","",IF($B95+1&gt;'Qredits maandlasten'!$C$4,"",G96*I96*'Qredits maandlasten'!$C$8))</f>
        <v/>
      </c>
      <c r="L96" s="128" t="str">
        <f t="shared" si="7"/>
        <v/>
      </c>
      <c r="M96" s="128" t="str">
        <f t="shared" si="5"/>
        <v/>
      </c>
      <c r="N96" s="127"/>
      <c r="O96" s="129" t="str">
        <f>IF($B96="","",'Qredits maandlasten'!$C$8)</f>
        <v/>
      </c>
      <c r="P96" s="129" t="str">
        <f>IF($B96="","",'Qredits maandlasten'!$C$8*(POWER(1+'Qredits maandlasten'!$C$8,$B96-1+1)))</f>
        <v/>
      </c>
      <c r="Q96" s="129" t="str">
        <f t="shared" si="8"/>
        <v/>
      </c>
      <c r="R96" s="127"/>
      <c r="S96" s="128" t="str">
        <f t="shared" si="6"/>
        <v/>
      </c>
      <c r="T96" s="128" t="str">
        <f>IF(S96="","",J96/(POWER(1+'Qredits maandlasten'!$C$8,$B96-1+1)))</f>
        <v/>
      </c>
      <c r="U96" s="130" t="str">
        <f t="shared" si="9"/>
        <v/>
      </c>
      <c r="V96" s="128" t="str">
        <f>IF($B96="","",K96/(POWER(1+'Qredits maandlasten'!$C$8,$B96-1+1)))</f>
        <v/>
      </c>
      <c r="W96" s="127"/>
    </row>
    <row r="97" spans="1:23" s="132" customFormat="1" x14ac:dyDescent="0.2">
      <c r="A97" s="123"/>
      <c r="B97" s="124" t="str">
        <f>IF($B96="","",IF($B96+1&gt;'Qredits maandlasten'!$C$4,"",Schema!B96+1))</f>
        <v/>
      </c>
      <c r="C97" s="125" t="str">
        <f>IF($B96="","",IF($B96+1&gt;'Qredits maandlasten'!$C$4,"",EOMONTH(C96,0)+1))</f>
        <v/>
      </c>
      <c r="D97" s="123"/>
      <c r="E97" s="125" t="str">
        <f>IF($B96="","",IF($B96+1&gt;'Qredits maandlasten'!$C$4,"",F96+1))</f>
        <v/>
      </c>
      <c r="F97" s="125" t="str">
        <f>IF($B96="","",IF($B96+1&gt;'Qredits maandlasten'!$C$4,"",EOMONTH(E97,0)))</f>
        <v/>
      </c>
      <c r="G97" s="126" t="str">
        <f>IF($B96="","",IF($B96+1&gt;'Qredits maandlasten'!$C$4,"",(_xlfn.DAYS(F97,E97)+1)/DAY(F97)))</f>
        <v/>
      </c>
      <c r="H97" s="127"/>
      <c r="I97" s="128" t="str">
        <f>IF($B96="","",IF($B96+1&gt;'Qredits maandlasten'!$C$4,"",I96-J96))</f>
        <v/>
      </c>
      <c r="J97" s="128" t="str">
        <f>IF($B96="","",IF($B96+1&gt;'Qredits maandlasten'!$C$4,"",IF(B96&lt;'Qredits maandlasten'!$C$11-1,0,IF('Qredits maandlasten'!$C$10=dropdowns!$A$121,'Qredits maandlasten'!$J$3,IF('Qredits maandlasten'!$C$10=dropdowns!$A$120,IFERROR('Qredits maandlasten'!$J$3-K97,0),0)))))</f>
        <v/>
      </c>
      <c r="K97" s="128" t="str">
        <f>IF($B96="","",IF($B96+1&gt;'Qredits maandlasten'!$C$4,"",G97*I97*'Qredits maandlasten'!$C$8))</f>
        <v/>
      </c>
      <c r="L97" s="128" t="str">
        <f t="shared" si="7"/>
        <v/>
      </c>
      <c r="M97" s="128" t="str">
        <f t="shared" si="5"/>
        <v/>
      </c>
      <c r="N97" s="127"/>
      <c r="O97" s="129" t="str">
        <f>IF($B97="","",'Qredits maandlasten'!$C$8)</f>
        <v/>
      </c>
      <c r="P97" s="129" t="str">
        <f>IF($B97="","",'Qredits maandlasten'!$C$8*(POWER(1+'Qredits maandlasten'!$C$8,$B97-1+1)))</f>
        <v/>
      </c>
      <c r="Q97" s="129" t="str">
        <f t="shared" si="8"/>
        <v/>
      </c>
      <c r="R97" s="127"/>
      <c r="S97" s="128" t="str">
        <f t="shared" si="6"/>
        <v/>
      </c>
      <c r="T97" s="128" t="str">
        <f>IF(S97="","",J97/(POWER(1+'Qredits maandlasten'!$C$8,$B97-1+1)))</f>
        <v/>
      </c>
      <c r="U97" s="130" t="str">
        <f t="shared" si="9"/>
        <v/>
      </c>
      <c r="V97" s="128" t="str">
        <f>IF($B97="","",K97/(POWER(1+'Qredits maandlasten'!$C$8,$B97-1+1)))</f>
        <v/>
      </c>
      <c r="W97" s="127"/>
    </row>
    <row r="98" spans="1:23" s="132" customFormat="1" x14ac:dyDescent="0.2">
      <c r="A98" s="123"/>
      <c r="B98" s="124" t="str">
        <f>IF($B97="","",IF($B97+1&gt;'Qredits maandlasten'!$C$4,"",Schema!B97+1))</f>
        <v/>
      </c>
      <c r="C98" s="125" t="str">
        <f>IF($B97="","",IF($B97+1&gt;'Qredits maandlasten'!$C$4,"",EOMONTH(C97,0)+1))</f>
        <v/>
      </c>
      <c r="D98" s="123"/>
      <c r="E98" s="125" t="str">
        <f>IF($B97="","",IF($B97+1&gt;'Qredits maandlasten'!$C$4,"",F97+1))</f>
        <v/>
      </c>
      <c r="F98" s="125" t="str">
        <f>IF($B97="","",IF($B97+1&gt;'Qredits maandlasten'!$C$4,"",EOMONTH(E98,0)))</f>
        <v/>
      </c>
      <c r="G98" s="126" t="str">
        <f>IF($B97="","",IF($B97+1&gt;'Qredits maandlasten'!$C$4,"",(_xlfn.DAYS(F98,E98)+1)/DAY(F98)))</f>
        <v/>
      </c>
      <c r="H98" s="127"/>
      <c r="I98" s="128" t="str">
        <f>IF($B97="","",IF($B97+1&gt;'Qredits maandlasten'!$C$4,"",I97-J97))</f>
        <v/>
      </c>
      <c r="J98" s="128" t="str">
        <f>IF($B97="","",IF($B97+1&gt;'Qredits maandlasten'!$C$4,"",IF(B97&lt;'Qredits maandlasten'!$C$11-1,0,IF('Qredits maandlasten'!$C$10=dropdowns!$A$121,'Qredits maandlasten'!$J$3,IF('Qredits maandlasten'!$C$10=dropdowns!$A$120,IFERROR('Qredits maandlasten'!$J$3-K98,0),0)))))</f>
        <v/>
      </c>
      <c r="K98" s="128" t="str">
        <f>IF($B97="","",IF($B97+1&gt;'Qredits maandlasten'!$C$4,"",G98*I98*'Qredits maandlasten'!$C$8))</f>
        <v/>
      </c>
      <c r="L98" s="128" t="str">
        <f t="shared" si="7"/>
        <v/>
      </c>
      <c r="M98" s="128" t="str">
        <f t="shared" si="5"/>
        <v/>
      </c>
      <c r="N98" s="127"/>
      <c r="O98" s="129" t="str">
        <f>IF($B98="","",'Qredits maandlasten'!$C$8)</f>
        <v/>
      </c>
      <c r="P98" s="129" t="str">
        <f>IF($B98="","",'Qredits maandlasten'!$C$8*(POWER(1+'Qredits maandlasten'!$C$8,$B98-1+1)))</f>
        <v/>
      </c>
      <c r="Q98" s="129" t="str">
        <f t="shared" si="8"/>
        <v/>
      </c>
      <c r="R98" s="127"/>
      <c r="S98" s="128" t="str">
        <f t="shared" si="6"/>
        <v/>
      </c>
      <c r="T98" s="128" t="str">
        <f>IF(S98="","",J98/(POWER(1+'Qredits maandlasten'!$C$8,$B98-1+1)))</f>
        <v/>
      </c>
      <c r="U98" s="130" t="str">
        <f t="shared" si="9"/>
        <v/>
      </c>
      <c r="V98" s="128" t="str">
        <f>IF($B98="","",K98/(POWER(1+'Qredits maandlasten'!$C$8,$B98-1+1)))</f>
        <v/>
      </c>
      <c r="W98" s="127"/>
    </row>
    <row r="99" spans="1:23" s="132" customFormat="1" x14ac:dyDescent="0.2">
      <c r="A99" s="123"/>
      <c r="B99" s="124" t="str">
        <f>IF($B98="","",IF($B98+1&gt;'Qredits maandlasten'!$C$4,"",Schema!B98+1))</f>
        <v/>
      </c>
      <c r="C99" s="125" t="str">
        <f>IF($B98="","",IF($B98+1&gt;'Qredits maandlasten'!$C$4,"",EOMONTH(C98,0)+1))</f>
        <v/>
      </c>
      <c r="D99" s="123"/>
      <c r="E99" s="125" t="str">
        <f>IF($B98="","",IF($B98+1&gt;'Qredits maandlasten'!$C$4,"",F98+1))</f>
        <v/>
      </c>
      <c r="F99" s="125" t="str">
        <f>IF($B98="","",IF($B98+1&gt;'Qredits maandlasten'!$C$4,"",EOMONTH(E99,0)))</f>
        <v/>
      </c>
      <c r="G99" s="126" t="str">
        <f>IF($B98="","",IF($B98+1&gt;'Qredits maandlasten'!$C$4,"",(_xlfn.DAYS(F99,E99)+1)/DAY(F99)))</f>
        <v/>
      </c>
      <c r="H99" s="127"/>
      <c r="I99" s="128" t="str">
        <f>IF($B98="","",IF($B98+1&gt;'Qredits maandlasten'!$C$4,"",I98-J98))</f>
        <v/>
      </c>
      <c r="J99" s="128" t="str">
        <f>IF($B98="","",IF($B98+1&gt;'Qredits maandlasten'!$C$4,"",IF(B98&lt;'Qredits maandlasten'!$C$11-1,0,IF('Qredits maandlasten'!$C$10=dropdowns!$A$121,'Qredits maandlasten'!$J$3,IF('Qredits maandlasten'!$C$10=dropdowns!$A$120,IFERROR('Qredits maandlasten'!$J$3-K99,0),0)))))</f>
        <v/>
      </c>
      <c r="K99" s="128" t="str">
        <f>IF($B98="","",IF($B98+1&gt;'Qredits maandlasten'!$C$4,"",G99*I99*'Qredits maandlasten'!$C$8))</f>
        <v/>
      </c>
      <c r="L99" s="128" t="str">
        <f t="shared" si="7"/>
        <v/>
      </c>
      <c r="M99" s="128" t="str">
        <f t="shared" si="5"/>
        <v/>
      </c>
      <c r="N99" s="127"/>
      <c r="O99" s="129" t="str">
        <f>IF($B99="","",'Qredits maandlasten'!$C$8)</f>
        <v/>
      </c>
      <c r="P99" s="129" t="str">
        <f>IF($B99="","",'Qredits maandlasten'!$C$8*(POWER(1+'Qredits maandlasten'!$C$8,$B99-1+1)))</f>
        <v/>
      </c>
      <c r="Q99" s="129" t="str">
        <f t="shared" si="8"/>
        <v/>
      </c>
      <c r="R99" s="127"/>
      <c r="S99" s="128" t="str">
        <f t="shared" si="6"/>
        <v/>
      </c>
      <c r="T99" s="128" t="str">
        <f>IF(S99="","",J99/(POWER(1+'Qredits maandlasten'!$C$8,$B99-1+1)))</f>
        <v/>
      </c>
      <c r="U99" s="130" t="str">
        <f t="shared" si="9"/>
        <v/>
      </c>
      <c r="V99" s="128" t="str">
        <f>IF($B99="","",K99/(POWER(1+'Qredits maandlasten'!$C$8,$B99-1+1)))</f>
        <v/>
      </c>
      <c r="W99" s="127"/>
    </row>
    <row r="100" spans="1:23" s="132" customFormat="1" x14ac:dyDescent="0.2">
      <c r="A100" s="123"/>
      <c r="B100" s="124" t="str">
        <f>IF($B99="","",IF($B99+1&gt;'Qredits maandlasten'!$C$4,"",Schema!B99+1))</f>
        <v/>
      </c>
      <c r="C100" s="125" t="str">
        <f>IF($B99="","",IF($B99+1&gt;'Qredits maandlasten'!$C$4,"",EOMONTH(C99,0)+1))</f>
        <v/>
      </c>
      <c r="D100" s="123"/>
      <c r="E100" s="125" t="str">
        <f>IF($B99="","",IF($B99+1&gt;'Qredits maandlasten'!$C$4,"",F99+1))</f>
        <v/>
      </c>
      <c r="F100" s="125" t="str">
        <f>IF($B99="","",IF($B99+1&gt;'Qredits maandlasten'!$C$4,"",EOMONTH(E100,0)))</f>
        <v/>
      </c>
      <c r="G100" s="126" t="str">
        <f>IF($B99="","",IF($B99+1&gt;'Qredits maandlasten'!$C$4,"",(_xlfn.DAYS(F100,E100)+1)/DAY(F100)))</f>
        <v/>
      </c>
      <c r="H100" s="127"/>
      <c r="I100" s="128" t="str">
        <f>IF($B99="","",IF($B99+1&gt;'Qredits maandlasten'!$C$4,"",I99-J99))</f>
        <v/>
      </c>
      <c r="J100" s="128" t="str">
        <f>IF($B99="","",IF($B99+1&gt;'Qredits maandlasten'!$C$4,"",IF(B99&lt;'Qredits maandlasten'!$C$11-1,0,IF('Qredits maandlasten'!$C$10=dropdowns!$A$121,'Qredits maandlasten'!$J$3,IF('Qredits maandlasten'!$C$10=dropdowns!$A$120,IFERROR('Qredits maandlasten'!$J$3-K100,0),0)))))</f>
        <v/>
      </c>
      <c r="K100" s="128" t="str">
        <f>IF($B99="","",IF($B99+1&gt;'Qredits maandlasten'!$C$4,"",G100*I100*'Qredits maandlasten'!$C$8))</f>
        <v/>
      </c>
      <c r="L100" s="128" t="str">
        <f t="shared" si="7"/>
        <v/>
      </c>
      <c r="M100" s="128" t="str">
        <f t="shared" si="5"/>
        <v/>
      </c>
      <c r="N100" s="127"/>
      <c r="O100" s="129" t="str">
        <f>IF($B100="","",'Qredits maandlasten'!$C$8)</f>
        <v/>
      </c>
      <c r="P100" s="129" t="str">
        <f>IF($B100="","",'Qredits maandlasten'!$C$8*(POWER(1+'Qredits maandlasten'!$C$8,$B100-1+1)))</f>
        <v/>
      </c>
      <c r="Q100" s="129" t="str">
        <f t="shared" si="8"/>
        <v/>
      </c>
      <c r="R100" s="127"/>
      <c r="S100" s="128" t="str">
        <f t="shared" si="6"/>
        <v/>
      </c>
      <c r="T100" s="128" t="str">
        <f>IF(S100="","",J100/(POWER(1+'Qredits maandlasten'!$C$8,$B100-1+1)))</f>
        <v/>
      </c>
      <c r="U100" s="130" t="str">
        <f t="shared" si="9"/>
        <v/>
      </c>
      <c r="V100" s="128" t="str">
        <f>IF($B100="","",K100/(POWER(1+'Qredits maandlasten'!$C$8,$B100-1+1)))</f>
        <v/>
      </c>
      <c r="W100" s="127"/>
    </row>
    <row r="101" spans="1:23" s="132" customFormat="1" x14ac:dyDescent="0.2">
      <c r="A101" s="123"/>
      <c r="B101" s="124" t="str">
        <f>IF($B100="","",IF($B100+1&gt;'Qredits maandlasten'!$C$4,"",Schema!B100+1))</f>
        <v/>
      </c>
      <c r="C101" s="125" t="str">
        <f>IF($B100="","",IF($B100+1&gt;'Qredits maandlasten'!$C$4,"",EOMONTH(C100,0)+1))</f>
        <v/>
      </c>
      <c r="D101" s="123"/>
      <c r="E101" s="125" t="str">
        <f>IF($B100="","",IF($B100+1&gt;'Qredits maandlasten'!$C$4,"",F100+1))</f>
        <v/>
      </c>
      <c r="F101" s="125" t="str">
        <f>IF($B100="","",IF($B100+1&gt;'Qredits maandlasten'!$C$4,"",EOMONTH(E101,0)))</f>
        <v/>
      </c>
      <c r="G101" s="126" t="str">
        <f>IF($B100="","",IF($B100+1&gt;'Qredits maandlasten'!$C$4,"",(_xlfn.DAYS(F101,E101)+1)/DAY(F101)))</f>
        <v/>
      </c>
      <c r="H101" s="127"/>
      <c r="I101" s="128" t="str">
        <f>IF($B100="","",IF($B100+1&gt;'Qredits maandlasten'!$C$4,"",I100-J100))</f>
        <v/>
      </c>
      <c r="J101" s="128" t="str">
        <f>IF($B100="","",IF($B100+1&gt;'Qredits maandlasten'!$C$4,"",IF(B100&lt;'Qredits maandlasten'!$C$11-1,0,IF('Qredits maandlasten'!$C$10=dropdowns!$A$121,'Qredits maandlasten'!$J$3,IF('Qredits maandlasten'!$C$10=dropdowns!$A$120,IFERROR('Qredits maandlasten'!$J$3-K101,0),0)))))</f>
        <v/>
      </c>
      <c r="K101" s="128" t="str">
        <f>IF($B100="","",IF($B100+1&gt;'Qredits maandlasten'!$C$4,"",G101*I101*'Qredits maandlasten'!$C$8))</f>
        <v/>
      </c>
      <c r="L101" s="128" t="str">
        <f t="shared" si="7"/>
        <v/>
      </c>
      <c r="M101" s="128" t="str">
        <f t="shared" si="5"/>
        <v/>
      </c>
      <c r="N101" s="127"/>
      <c r="O101" s="129" t="str">
        <f>IF($B101="","",'Qredits maandlasten'!$C$8)</f>
        <v/>
      </c>
      <c r="P101" s="129" t="str">
        <f>IF($B101="","",'Qredits maandlasten'!$C$8*(POWER(1+'Qredits maandlasten'!$C$8,$B101-1+1)))</f>
        <v/>
      </c>
      <c r="Q101" s="129" t="str">
        <f t="shared" si="8"/>
        <v/>
      </c>
      <c r="R101" s="127"/>
      <c r="S101" s="128" t="str">
        <f t="shared" si="6"/>
        <v/>
      </c>
      <c r="T101" s="128" t="str">
        <f>IF(S101="","",J101/(POWER(1+'Qredits maandlasten'!$C$8,$B101-1+1)))</f>
        <v/>
      </c>
      <c r="U101" s="130" t="str">
        <f t="shared" si="9"/>
        <v/>
      </c>
      <c r="V101" s="128" t="str">
        <f>IF($B101="","",K101/(POWER(1+'Qredits maandlasten'!$C$8,$B101-1+1)))</f>
        <v/>
      </c>
      <c r="W101" s="127"/>
    </row>
    <row r="102" spans="1:23" s="132" customFormat="1" x14ac:dyDescent="0.2">
      <c r="A102" s="123"/>
      <c r="B102" s="124" t="str">
        <f>IF($B101="","",IF($B101+1&gt;'Qredits maandlasten'!$C$4,"",Schema!B101+1))</f>
        <v/>
      </c>
      <c r="C102" s="125" t="str">
        <f>IF($B101="","",IF($B101+1&gt;'Qredits maandlasten'!$C$4,"",EOMONTH(C101,0)+1))</f>
        <v/>
      </c>
      <c r="D102" s="123"/>
      <c r="E102" s="125" t="str">
        <f>IF($B101="","",IF($B101+1&gt;'Qredits maandlasten'!$C$4,"",F101+1))</f>
        <v/>
      </c>
      <c r="F102" s="125" t="str">
        <f>IF($B101="","",IF($B101+1&gt;'Qredits maandlasten'!$C$4,"",EOMONTH(E102,0)))</f>
        <v/>
      </c>
      <c r="G102" s="126" t="str">
        <f>IF($B101="","",IF($B101+1&gt;'Qredits maandlasten'!$C$4,"",(_xlfn.DAYS(F102,E102)+1)/DAY(F102)))</f>
        <v/>
      </c>
      <c r="H102" s="127"/>
      <c r="I102" s="128" t="str">
        <f>IF($B101="","",IF($B101+1&gt;'Qredits maandlasten'!$C$4,"",I101-J101))</f>
        <v/>
      </c>
      <c r="J102" s="128" t="str">
        <f>IF($B101="","",IF($B101+1&gt;'Qredits maandlasten'!$C$4,"",IF(B101&lt;'Qredits maandlasten'!$C$11-1,0,IF('Qredits maandlasten'!$C$10=dropdowns!$A$121,'Qredits maandlasten'!$J$3,IF('Qredits maandlasten'!$C$10=dropdowns!$A$120,IFERROR('Qredits maandlasten'!$J$3-K102,0),0)))))</f>
        <v/>
      </c>
      <c r="K102" s="128" t="str">
        <f>IF($B101="","",IF($B101+1&gt;'Qredits maandlasten'!$C$4,"",G102*I102*'Qredits maandlasten'!$C$8))</f>
        <v/>
      </c>
      <c r="L102" s="128" t="str">
        <f t="shared" si="7"/>
        <v/>
      </c>
      <c r="M102" s="128" t="str">
        <f t="shared" si="5"/>
        <v/>
      </c>
      <c r="N102" s="127"/>
      <c r="O102" s="129" t="str">
        <f>IF($B102="","",'Qredits maandlasten'!$C$8)</f>
        <v/>
      </c>
      <c r="P102" s="129" t="str">
        <f>IF($B102="","",'Qredits maandlasten'!$C$8*(POWER(1+'Qredits maandlasten'!$C$8,$B102-1+1)))</f>
        <v/>
      </c>
      <c r="Q102" s="129" t="str">
        <f t="shared" si="8"/>
        <v/>
      </c>
      <c r="R102" s="127"/>
      <c r="S102" s="128" t="str">
        <f t="shared" si="6"/>
        <v/>
      </c>
      <c r="T102" s="128" t="str">
        <f>IF(S102="","",J102/(POWER(1+'Qredits maandlasten'!$C$8,$B102-1+1)))</f>
        <v/>
      </c>
      <c r="U102" s="130" t="str">
        <f t="shared" si="9"/>
        <v/>
      </c>
      <c r="V102" s="128" t="str">
        <f>IF($B102="","",K102/(POWER(1+'Qredits maandlasten'!$C$8,$B102-1+1)))</f>
        <v/>
      </c>
      <c r="W102" s="127"/>
    </row>
    <row r="103" spans="1:23" s="132" customFormat="1" x14ac:dyDescent="0.2">
      <c r="A103" s="123"/>
      <c r="B103" s="124" t="str">
        <f>IF($B102="","",IF($B102+1&gt;'Qredits maandlasten'!$C$4,"",Schema!B102+1))</f>
        <v/>
      </c>
      <c r="C103" s="125" t="str">
        <f>IF($B102="","",IF($B102+1&gt;'Qredits maandlasten'!$C$4,"",EOMONTH(C102,0)+1))</f>
        <v/>
      </c>
      <c r="D103" s="123"/>
      <c r="E103" s="125" t="str">
        <f>IF($B102="","",IF($B102+1&gt;'Qredits maandlasten'!$C$4,"",F102+1))</f>
        <v/>
      </c>
      <c r="F103" s="125" t="str">
        <f>IF($B102="","",IF($B102+1&gt;'Qredits maandlasten'!$C$4,"",EOMONTH(E103,0)))</f>
        <v/>
      </c>
      <c r="G103" s="126" t="str">
        <f>IF($B102="","",IF($B102+1&gt;'Qredits maandlasten'!$C$4,"",(_xlfn.DAYS(F103,E103)+1)/DAY(F103)))</f>
        <v/>
      </c>
      <c r="H103" s="127"/>
      <c r="I103" s="128" t="str">
        <f>IF($B102="","",IF($B102+1&gt;'Qredits maandlasten'!$C$4,"",I102-J102))</f>
        <v/>
      </c>
      <c r="J103" s="128" t="str">
        <f>IF($B102="","",IF($B102+1&gt;'Qredits maandlasten'!$C$4,"",IF(B102&lt;'Qredits maandlasten'!$C$11-1,0,IF('Qredits maandlasten'!$C$10=dropdowns!$A$121,'Qredits maandlasten'!$J$3,IF('Qredits maandlasten'!$C$10=dropdowns!$A$120,IFERROR('Qredits maandlasten'!$J$3-K103,0),0)))))</f>
        <v/>
      </c>
      <c r="K103" s="128" t="str">
        <f>IF($B102="","",IF($B102+1&gt;'Qredits maandlasten'!$C$4,"",G103*I103*'Qredits maandlasten'!$C$8))</f>
        <v/>
      </c>
      <c r="L103" s="128" t="str">
        <f t="shared" si="7"/>
        <v/>
      </c>
      <c r="M103" s="128" t="str">
        <f t="shared" si="5"/>
        <v/>
      </c>
      <c r="N103" s="127"/>
      <c r="O103" s="129" t="str">
        <f>IF($B103="","",'Qredits maandlasten'!$C$8)</f>
        <v/>
      </c>
      <c r="P103" s="129" t="str">
        <f>IF($B103="","",'Qredits maandlasten'!$C$8*(POWER(1+'Qredits maandlasten'!$C$8,$B103-1+1)))</f>
        <v/>
      </c>
      <c r="Q103" s="129" t="str">
        <f t="shared" si="8"/>
        <v/>
      </c>
      <c r="R103" s="127"/>
      <c r="S103" s="128" t="str">
        <f t="shared" si="6"/>
        <v/>
      </c>
      <c r="T103" s="128" t="str">
        <f>IF(S103="","",J103/(POWER(1+'Qredits maandlasten'!$C$8,$B103-1+1)))</f>
        <v/>
      </c>
      <c r="U103" s="130" t="str">
        <f t="shared" si="9"/>
        <v/>
      </c>
      <c r="V103" s="128" t="str">
        <f>IF($B103="","",K103/(POWER(1+'Qredits maandlasten'!$C$8,$B103-1+1)))</f>
        <v/>
      </c>
      <c r="W103" s="127"/>
    </row>
    <row r="104" spans="1:23" s="132" customFormat="1" x14ac:dyDescent="0.2">
      <c r="A104" s="123"/>
      <c r="B104" s="124" t="str">
        <f>IF($B103="","",IF($B103+1&gt;'Qredits maandlasten'!$C$4,"",Schema!B103+1))</f>
        <v/>
      </c>
      <c r="C104" s="125" t="str">
        <f>IF($B103="","",IF($B103+1&gt;'Qredits maandlasten'!$C$4,"",EOMONTH(C103,0)+1))</f>
        <v/>
      </c>
      <c r="D104" s="123"/>
      <c r="E104" s="125" t="str">
        <f>IF($B103="","",IF($B103+1&gt;'Qredits maandlasten'!$C$4,"",F103+1))</f>
        <v/>
      </c>
      <c r="F104" s="125" t="str">
        <f>IF($B103="","",IF($B103+1&gt;'Qredits maandlasten'!$C$4,"",EOMONTH(E104,0)))</f>
        <v/>
      </c>
      <c r="G104" s="126" t="str">
        <f>IF($B103="","",IF($B103+1&gt;'Qredits maandlasten'!$C$4,"",(_xlfn.DAYS(F104,E104)+1)/DAY(F104)))</f>
        <v/>
      </c>
      <c r="H104" s="127"/>
      <c r="I104" s="128" t="str">
        <f>IF($B103="","",IF($B103+1&gt;'Qredits maandlasten'!$C$4,"",I103-J103))</f>
        <v/>
      </c>
      <c r="J104" s="128" t="str">
        <f>IF($B103="","",IF($B103+1&gt;'Qredits maandlasten'!$C$4,"",IF(B103&lt;'Qredits maandlasten'!$C$11-1,0,IF('Qredits maandlasten'!$C$10=dropdowns!$A$121,'Qredits maandlasten'!$J$3,IF('Qredits maandlasten'!$C$10=dropdowns!$A$120,IFERROR('Qredits maandlasten'!$J$3-K104,0),0)))))</f>
        <v/>
      </c>
      <c r="K104" s="128" t="str">
        <f>IF($B103="","",IF($B103+1&gt;'Qredits maandlasten'!$C$4,"",G104*I104*'Qredits maandlasten'!$C$8))</f>
        <v/>
      </c>
      <c r="L104" s="128" t="str">
        <f t="shared" si="7"/>
        <v/>
      </c>
      <c r="M104" s="128" t="str">
        <f t="shared" si="5"/>
        <v/>
      </c>
      <c r="N104" s="127"/>
      <c r="O104" s="129" t="str">
        <f>IF($B104="","",'Qredits maandlasten'!$C$8)</f>
        <v/>
      </c>
      <c r="P104" s="129" t="str">
        <f>IF($B104="","",'Qredits maandlasten'!$C$8*(POWER(1+'Qredits maandlasten'!$C$8,$B104-1+1)))</f>
        <v/>
      </c>
      <c r="Q104" s="129" t="str">
        <f t="shared" si="8"/>
        <v/>
      </c>
      <c r="R104" s="127"/>
      <c r="S104" s="128" t="str">
        <f t="shared" si="6"/>
        <v/>
      </c>
      <c r="T104" s="128" t="str">
        <f>IF(S104="","",J104/(POWER(1+'Qredits maandlasten'!$C$8,$B104-1+1)))</f>
        <v/>
      </c>
      <c r="U104" s="130" t="str">
        <f t="shared" si="9"/>
        <v/>
      </c>
      <c r="V104" s="128" t="str">
        <f>IF($B104="","",K104/(POWER(1+'Qredits maandlasten'!$C$8,$B104-1+1)))</f>
        <v/>
      </c>
      <c r="W104" s="127"/>
    </row>
    <row r="105" spans="1:23" s="132" customFormat="1" x14ac:dyDescent="0.2">
      <c r="A105" s="123"/>
      <c r="B105" s="124" t="str">
        <f>IF($B104="","",IF($B104+1&gt;'Qredits maandlasten'!$C$4,"",Schema!B104+1))</f>
        <v/>
      </c>
      <c r="C105" s="125" t="str">
        <f>IF($B104="","",IF($B104+1&gt;'Qredits maandlasten'!$C$4,"",EOMONTH(C104,0)+1))</f>
        <v/>
      </c>
      <c r="D105" s="123"/>
      <c r="E105" s="125" t="str">
        <f>IF($B104="","",IF($B104+1&gt;'Qredits maandlasten'!$C$4,"",F104+1))</f>
        <v/>
      </c>
      <c r="F105" s="125" t="str">
        <f>IF($B104="","",IF($B104+1&gt;'Qredits maandlasten'!$C$4,"",EOMONTH(E105,0)))</f>
        <v/>
      </c>
      <c r="G105" s="126" t="str">
        <f>IF($B104="","",IF($B104+1&gt;'Qredits maandlasten'!$C$4,"",(_xlfn.DAYS(F105,E105)+1)/DAY(F105)))</f>
        <v/>
      </c>
      <c r="H105" s="127"/>
      <c r="I105" s="128" t="str">
        <f>IF($B104="","",IF($B104+1&gt;'Qredits maandlasten'!$C$4,"",I104-J104))</f>
        <v/>
      </c>
      <c r="J105" s="128" t="str">
        <f>IF($B104="","",IF($B104+1&gt;'Qredits maandlasten'!$C$4,"",IF(B104&lt;'Qredits maandlasten'!$C$11-1,0,IF('Qredits maandlasten'!$C$10=dropdowns!$A$121,'Qredits maandlasten'!$J$3,IF('Qredits maandlasten'!$C$10=dropdowns!$A$120,IFERROR('Qredits maandlasten'!$J$3-K105,0),0)))))</f>
        <v/>
      </c>
      <c r="K105" s="128" t="str">
        <f>IF($B104="","",IF($B104+1&gt;'Qredits maandlasten'!$C$4,"",G105*I105*'Qredits maandlasten'!$C$8))</f>
        <v/>
      </c>
      <c r="L105" s="128" t="str">
        <f t="shared" si="7"/>
        <v/>
      </c>
      <c r="M105" s="128" t="str">
        <f t="shared" si="5"/>
        <v/>
      </c>
      <c r="N105" s="127"/>
      <c r="O105" s="129" t="str">
        <f>IF($B105="","",'Qredits maandlasten'!$C$8)</f>
        <v/>
      </c>
      <c r="P105" s="129" t="str">
        <f>IF($B105="","",'Qredits maandlasten'!$C$8*(POWER(1+'Qredits maandlasten'!$C$8,$B105-1+1)))</f>
        <v/>
      </c>
      <c r="Q105" s="129" t="str">
        <f t="shared" si="8"/>
        <v/>
      </c>
      <c r="R105" s="127"/>
      <c r="S105" s="128" t="str">
        <f t="shared" si="6"/>
        <v/>
      </c>
      <c r="T105" s="128" t="str">
        <f>IF(S105="","",J105/(POWER(1+'Qredits maandlasten'!$C$8,$B105-1+1)))</f>
        <v/>
      </c>
      <c r="U105" s="130" t="str">
        <f t="shared" si="9"/>
        <v/>
      </c>
      <c r="V105" s="128" t="str">
        <f>IF($B105="","",K105/(POWER(1+'Qredits maandlasten'!$C$8,$B105-1+1)))</f>
        <v/>
      </c>
      <c r="W105" s="127"/>
    </row>
    <row r="106" spans="1:23" s="132" customFormat="1" x14ac:dyDescent="0.2">
      <c r="A106" s="123"/>
      <c r="B106" s="124" t="str">
        <f>IF($B105="","",IF($B105+1&gt;'Qredits maandlasten'!$C$4,"",Schema!B105+1))</f>
        <v/>
      </c>
      <c r="C106" s="125" t="str">
        <f>IF($B105="","",IF($B105+1&gt;'Qredits maandlasten'!$C$4,"",EOMONTH(C105,0)+1))</f>
        <v/>
      </c>
      <c r="D106" s="123"/>
      <c r="E106" s="125" t="str">
        <f>IF($B105="","",IF($B105+1&gt;'Qredits maandlasten'!$C$4,"",F105+1))</f>
        <v/>
      </c>
      <c r="F106" s="125" t="str">
        <f>IF($B105="","",IF($B105+1&gt;'Qredits maandlasten'!$C$4,"",EOMONTH(E106,0)))</f>
        <v/>
      </c>
      <c r="G106" s="126" t="str">
        <f>IF($B105="","",IF($B105+1&gt;'Qredits maandlasten'!$C$4,"",(_xlfn.DAYS(F106,E106)+1)/DAY(F106)))</f>
        <v/>
      </c>
      <c r="H106" s="127"/>
      <c r="I106" s="128" t="str">
        <f>IF($B105="","",IF($B105+1&gt;'Qredits maandlasten'!$C$4,"",I105-J105))</f>
        <v/>
      </c>
      <c r="J106" s="128" t="str">
        <f>IF($B105="","",IF($B105+1&gt;'Qredits maandlasten'!$C$4,"",IF(B105&lt;'Qredits maandlasten'!$C$11-1,0,IF('Qredits maandlasten'!$C$10=dropdowns!$A$121,'Qredits maandlasten'!$J$3,IF('Qredits maandlasten'!$C$10=dropdowns!$A$120,IFERROR('Qredits maandlasten'!$J$3-K106,0),0)))))</f>
        <v/>
      </c>
      <c r="K106" s="128" t="str">
        <f>IF($B105="","",IF($B105+1&gt;'Qredits maandlasten'!$C$4,"",G106*I106*'Qredits maandlasten'!$C$8))</f>
        <v/>
      </c>
      <c r="L106" s="128" t="str">
        <f t="shared" si="7"/>
        <v/>
      </c>
      <c r="M106" s="128" t="str">
        <f t="shared" si="5"/>
        <v/>
      </c>
      <c r="N106" s="127"/>
      <c r="O106" s="129" t="str">
        <f>IF($B106="","",'Qredits maandlasten'!$C$8)</f>
        <v/>
      </c>
      <c r="P106" s="129" t="str">
        <f>IF($B106="","",'Qredits maandlasten'!$C$8*(POWER(1+'Qredits maandlasten'!$C$8,$B106-1+1)))</f>
        <v/>
      </c>
      <c r="Q106" s="129" t="str">
        <f t="shared" si="8"/>
        <v/>
      </c>
      <c r="R106" s="127"/>
      <c r="S106" s="128" t="str">
        <f t="shared" si="6"/>
        <v/>
      </c>
      <c r="T106" s="128" t="str">
        <f>IF(S106="","",J106/(POWER(1+'Qredits maandlasten'!$C$8,$B106-1+1)))</f>
        <v/>
      </c>
      <c r="U106" s="130" t="str">
        <f t="shared" si="9"/>
        <v/>
      </c>
      <c r="V106" s="128" t="str">
        <f>IF($B106="","",K106/(POWER(1+'Qredits maandlasten'!$C$8,$B106-1+1)))</f>
        <v/>
      </c>
      <c r="W106" s="127"/>
    </row>
    <row r="107" spans="1:23" s="132" customFormat="1" x14ac:dyDescent="0.2">
      <c r="A107" s="123"/>
      <c r="B107" s="124" t="str">
        <f>IF($B106="","",IF($B106+1&gt;'Qredits maandlasten'!$C$4,"",Schema!B106+1))</f>
        <v/>
      </c>
      <c r="C107" s="125" t="str">
        <f>IF($B106="","",IF($B106+1&gt;'Qredits maandlasten'!$C$4,"",EOMONTH(C106,0)+1))</f>
        <v/>
      </c>
      <c r="D107" s="123"/>
      <c r="E107" s="125" t="str">
        <f>IF($B106="","",IF($B106+1&gt;'Qredits maandlasten'!$C$4,"",F106+1))</f>
        <v/>
      </c>
      <c r="F107" s="125" t="str">
        <f>IF($B106="","",IF($B106+1&gt;'Qredits maandlasten'!$C$4,"",EOMONTH(E107,0)))</f>
        <v/>
      </c>
      <c r="G107" s="126" t="str">
        <f>IF($B106="","",IF($B106+1&gt;'Qredits maandlasten'!$C$4,"",(_xlfn.DAYS(F107,E107)+1)/DAY(F107)))</f>
        <v/>
      </c>
      <c r="H107" s="127"/>
      <c r="I107" s="128" t="str">
        <f>IF($B106="","",IF($B106+1&gt;'Qredits maandlasten'!$C$4,"",I106-J106))</f>
        <v/>
      </c>
      <c r="J107" s="128" t="str">
        <f>IF($B106="","",IF($B106+1&gt;'Qredits maandlasten'!$C$4,"",IF(B106&lt;'Qredits maandlasten'!$C$11-1,0,IF('Qredits maandlasten'!$C$10=dropdowns!$A$121,'Qredits maandlasten'!$J$3,IF('Qredits maandlasten'!$C$10=dropdowns!$A$120,IFERROR('Qredits maandlasten'!$J$3-K107,0),0)))))</f>
        <v/>
      </c>
      <c r="K107" s="128" t="str">
        <f>IF($B106="","",IF($B106+1&gt;'Qredits maandlasten'!$C$4,"",G107*I107*'Qredits maandlasten'!$C$8))</f>
        <v/>
      </c>
      <c r="L107" s="128" t="str">
        <f t="shared" si="7"/>
        <v/>
      </c>
      <c r="M107" s="128" t="str">
        <f t="shared" si="5"/>
        <v/>
      </c>
      <c r="N107" s="127"/>
      <c r="O107" s="129" t="str">
        <f>IF($B107="","",'Qredits maandlasten'!$C$8)</f>
        <v/>
      </c>
      <c r="P107" s="129" t="str">
        <f>IF($B107="","",'Qredits maandlasten'!$C$8*(POWER(1+'Qredits maandlasten'!$C$8,$B107-1+1)))</f>
        <v/>
      </c>
      <c r="Q107" s="129" t="str">
        <f t="shared" si="8"/>
        <v/>
      </c>
      <c r="R107" s="127"/>
      <c r="S107" s="128" t="str">
        <f t="shared" si="6"/>
        <v/>
      </c>
      <c r="T107" s="128" t="str">
        <f>IF(S107="","",J107/(POWER(1+'Qredits maandlasten'!$C$8,$B107-1+1)))</f>
        <v/>
      </c>
      <c r="U107" s="130" t="str">
        <f t="shared" si="9"/>
        <v/>
      </c>
      <c r="V107" s="128" t="str">
        <f>IF($B107="","",K107/(POWER(1+'Qredits maandlasten'!$C$8,$B107-1+1)))</f>
        <v/>
      </c>
      <c r="W107" s="127"/>
    </row>
    <row r="108" spans="1:23" s="132" customFormat="1" x14ac:dyDescent="0.2">
      <c r="A108" s="123"/>
      <c r="B108" s="124" t="str">
        <f>IF($B107="","",IF($B107+1&gt;'Qredits maandlasten'!$C$4,"",Schema!B107+1))</f>
        <v/>
      </c>
      <c r="C108" s="125" t="str">
        <f>IF($B107="","",IF($B107+1&gt;'Qredits maandlasten'!$C$4,"",EOMONTH(C107,0)+1))</f>
        <v/>
      </c>
      <c r="D108" s="123"/>
      <c r="E108" s="125" t="str">
        <f>IF($B107="","",IF($B107+1&gt;'Qredits maandlasten'!$C$4,"",F107+1))</f>
        <v/>
      </c>
      <c r="F108" s="125" t="str">
        <f>IF($B107="","",IF($B107+1&gt;'Qredits maandlasten'!$C$4,"",EOMONTH(E108,0)))</f>
        <v/>
      </c>
      <c r="G108" s="126" t="str">
        <f>IF($B107="","",IF($B107+1&gt;'Qredits maandlasten'!$C$4,"",(_xlfn.DAYS(F108,E108)+1)/DAY(F108)))</f>
        <v/>
      </c>
      <c r="H108" s="127"/>
      <c r="I108" s="128" t="str">
        <f>IF($B107="","",IF($B107+1&gt;'Qredits maandlasten'!$C$4,"",I107-J107))</f>
        <v/>
      </c>
      <c r="J108" s="128" t="str">
        <f>IF($B107="","",IF($B107+1&gt;'Qredits maandlasten'!$C$4,"",IF(B107&lt;'Qredits maandlasten'!$C$11-1,0,IF('Qredits maandlasten'!$C$10=dropdowns!$A$121,'Qredits maandlasten'!$J$3,IF('Qredits maandlasten'!$C$10=dropdowns!$A$120,IFERROR('Qredits maandlasten'!$J$3-K108,0),0)))))</f>
        <v/>
      </c>
      <c r="K108" s="128" t="str">
        <f>IF($B107="","",IF($B107+1&gt;'Qredits maandlasten'!$C$4,"",G108*I108*'Qredits maandlasten'!$C$8))</f>
        <v/>
      </c>
      <c r="L108" s="128" t="str">
        <f t="shared" si="7"/>
        <v/>
      </c>
      <c r="M108" s="128" t="str">
        <f t="shared" si="5"/>
        <v/>
      </c>
      <c r="N108" s="127"/>
      <c r="O108" s="129" t="str">
        <f>IF($B108="","",'Qredits maandlasten'!$C$8)</f>
        <v/>
      </c>
      <c r="P108" s="129" t="str">
        <f>IF($B108="","",'Qredits maandlasten'!$C$8*(POWER(1+'Qredits maandlasten'!$C$8,$B108-1+1)))</f>
        <v/>
      </c>
      <c r="Q108" s="129" t="str">
        <f t="shared" si="8"/>
        <v/>
      </c>
      <c r="R108" s="127"/>
      <c r="S108" s="128" t="str">
        <f t="shared" si="6"/>
        <v/>
      </c>
      <c r="T108" s="128" t="str">
        <f>IF(S108="","",J108/(POWER(1+'Qredits maandlasten'!$C$8,$B108-1+1)))</f>
        <v/>
      </c>
      <c r="U108" s="130" t="str">
        <f t="shared" si="9"/>
        <v/>
      </c>
      <c r="V108" s="128" t="str">
        <f>IF($B108="","",K108/(POWER(1+'Qredits maandlasten'!$C$8,$B108-1+1)))</f>
        <v/>
      </c>
      <c r="W108" s="127"/>
    </row>
    <row r="109" spans="1:23" s="132" customFormat="1" x14ac:dyDescent="0.2">
      <c r="A109" s="123"/>
      <c r="B109" s="124" t="str">
        <f>IF($B108="","",IF($B108+1&gt;'Qredits maandlasten'!$C$4,"",Schema!B108+1))</f>
        <v/>
      </c>
      <c r="C109" s="125" t="str">
        <f>IF($B108="","",IF($B108+1&gt;'Qredits maandlasten'!$C$4,"",EOMONTH(C108,0)+1))</f>
        <v/>
      </c>
      <c r="D109" s="123"/>
      <c r="E109" s="125" t="str">
        <f>IF($B108="","",IF($B108+1&gt;'Qredits maandlasten'!$C$4,"",F108+1))</f>
        <v/>
      </c>
      <c r="F109" s="125" t="str">
        <f>IF($B108="","",IF($B108+1&gt;'Qredits maandlasten'!$C$4,"",EOMONTH(E109,0)))</f>
        <v/>
      </c>
      <c r="G109" s="126" t="str">
        <f>IF($B108="","",IF($B108+1&gt;'Qredits maandlasten'!$C$4,"",(_xlfn.DAYS(F109,E109)+1)/DAY(F109)))</f>
        <v/>
      </c>
      <c r="H109" s="127"/>
      <c r="I109" s="128" t="str">
        <f>IF($B108="","",IF($B108+1&gt;'Qredits maandlasten'!$C$4,"",I108-J108))</f>
        <v/>
      </c>
      <c r="J109" s="128" t="str">
        <f>IF($B108="","",IF($B108+1&gt;'Qredits maandlasten'!$C$4,"",IF(B108&lt;'Qredits maandlasten'!$C$11-1,0,IF('Qredits maandlasten'!$C$10=dropdowns!$A$121,'Qredits maandlasten'!$J$3,IF('Qredits maandlasten'!$C$10=dropdowns!$A$120,IFERROR('Qredits maandlasten'!$J$3-K109,0),0)))))</f>
        <v/>
      </c>
      <c r="K109" s="128" t="str">
        <f>IF($B108="","",IF($B108+1&gt;'Qredits maandlasten'!$C$4,"",G109*I109*'Qredits maandlasten'!$C$8))</f>
        <v/>
      </c>
      <c r="L109" s="128" t="str">
        <f t="shared" si="7"/>
        <v/>
      </c>
      <c r="M109" s="128" t="str">
        <f t="shared" si="5"/>
        <v/>
      </c>
      <c r="N109" s="127"/>
      <c r="O109" s="129" t="str">
        <f>IF($B109="","",'Qredits maandlasten'!$C$8)</f>
        <v/>
      </c>
      <c r="P109" s="129" t="str">
        <f>IF($B109="","",'Qredits maandlasten'!$C$8*(POWER(1+'Qredits maandlasten'!$C$8,$B109-1+1)))</f>
        <v/>
      </c>
      <c r="Q109" s="129" t="str">
        <f t="shared" si="8"/>
        <v/>
      </c>
      <c r="R109" s="127"/>
      <c r="S109" s="128" t="str">
        <f t="shared" si="6"/>
        <v/>
      </c>
      <c r="T109" s="128" t="str">
        <f>IF(S109="","",J109/(POWER(1+'Qredits maandlasten'!$C$8,$B109-1+1)))</f>
        <v/>
      </c>
      <c r="U109" s="130" t="str">
        <f t="shared" si="9"/>
        <v/>
      </c>
      <c r="V109" s="128" t="str">
        <f>IF($B109="","",K109/(POWER(1+'Qredits maandlasten'!$C$8,$B109-1+1)))</f>
        <v/>
      </c>
      <c r="W109" s="127"/>
    </row>
    <row r="110" spans="1:23" s="132" customFormat="1" x14ac:dyDescent="0.2">
      <c r="A110" s="123"/>
      <c r="B110" s="124" t="str">
        <f>IF($B109="","",IF($B109+1&gt;'Qredits maandlasten'!$C$4,"",Schema!B109+1))</f>
        <v/>
      </c>
      <c r="C110" s="125" t="str">
        <f>IF($B109="","",IF($B109+1&gt;'Qredits maandlasten'!$C$4,"",EOMONTH(C109,0)+1))</f>
        <v/>
      </c>
      <c r="D110" s="123"/>
      <c r="E110" s="125" t="str">
        <f>IF($B109="","",IF($B109+1&gt;'Qredits maandlasten'!$C$4,"",F109+1))</f>
        <v/>
      </c>
      <c r="F110" s="125" t="str">
        <f>IF($B109="","",IF($B109+1&gt;'Qredits maandlasten'!$C$4,"",EOMONTH(E110,0)))</f>
        <v/>
      </c>
      <c r="G110" s="126" t="str">
        <f>IF($B109="","",IF($B109+1&gt;'Qredits maandlasten'!$C$4,"",(_xlfn.DAYS(F110,E110)+1)/DAY(F110)))</f>
        <v/>
      </c>
      <c r="H110" s="127"/>
      <c r="I110" s="128" t="str">
        <f>IF($B109="","",IF($B109+1&gt;'Qredits maandlasten'!$C$4,"",I109-J109))</f>
        <v/>
      </c>
      <c r="J110" s="128" t="str">
        <f>IF($B109="","",IF($B109+1&gt;'Qredits maandlasten'!$C$4,"",IF(B109&lt;'Qredits maandlasten'!$C$11-1,0,IF('Qredits maandlasten'!$C$10=dropdowns!$A$121,'Qredits maandlasten'!$J$3,IF('Qredits maandlasten'!$C$10=dropdowns!$A$120,IFERROR('Qredits maandlasten'!$J$3-K110,0),0)))))</f>
        <v/>
      </c>
      <c r="K110" s="128" t="str">
        <f>IF($B109="","",IF($B109+1&gt;'Qredits maandlasten'!$C$4,"",G110*I110*'Qredits maandlasten'!$C$8))</f>
        <v/>
      </c>
      <c r="L110" s="128" t="str">
        <f t="shared" si="7"/>
        <v/>
      </c>
      <c r="M110" s="128" t="str">
        <f t="shared" si="5"/>
        <v/>
      </c>
      <c r="N110" s="127"/>
      <c r="O110" s="129" t="str">
        <f>IF($B110="","",'Qredits maandlasten'!$C$8)</f>
        <v/>
      </c>
      <c r="P110" s="129" t="str">
        <f>IF($B110="","",'Qredits maandlasten'!$C$8*(POWER(1+'Qredits maandlasten'!$C$8,$B110-1+1)))</f>
        <v/>
      </c>
      <c r="Q110" s="129" t="str">
        <f t="shared" si="8"/>
        <v/>
      </c>
      <c r="R110" s="127"/>
      <c r="S110" s="128" t="str">
        <f t="shared" si="6"/>
        <v/>
      </c>
      <c r="T110" s="128" t="str">
        <f>IF(S110="","",J110/(POWER(1+'Qredits maandlasten'!$C$8,$B110-1+1)))</f>
        <v/>
      </c>
      <c r="U110" s="130" t="str">
        <f t="shared" si="9"/>
        <v/>
      </c>
      <c r="V110" s="128" t="str">
        <f>IF($B110="","",K110/(POWER(1+'Qredits maandlasten'!$C$8,$B110-1+1)))</f>
        <v/>
      </c>
      <c r="W110" s="127"/>
    </row>
    <row r="111" spans="1:23" s="132" customFormat="1" x14ac:dyDescent="0.2">
      <c r="A111" s="123"/>
      <c r="B111" s="124" t="str">
        <f>IF($B110="","",IF($B110+1&gt;'Qredits maandlasten'!$C$4,"",Schema!B110+1))</f>
        <v/>
      </c>
      <c r="C111" s="125" t="str">
        <f>IF($B110="","",IF($B110+1&gt;'Qredits maandlasten'!$C$4,"",EOMONTH(C110,0)+1))</f>
        <v/>
      </c>
      <c r="D111" s="123"/>
      <c r="E111" s="125" t="str">
        <f>IF($B110="","",IF($B110+1&gt;'Qredits maandlasten'!$C$4,"",F110+1))</f>
        <v/>
      </c>
      <c r="F111" s="125" t="str">
        <f>IF($B110="","",IF($B110+1&gt;'Qredits maandlasten'!$C$4,"",EOMONTH(E111,0)))</f>
        <v/>
      </c>
      <c r="G111" s="126" t="str">
        <f>IF($B110="","",IF($B110+1&gt;'Qredits maandlasten'!$C$4,"",(_xlfn.DAYS(F111,E111)+1)/DAY(F111)))</f>
        <v/>
      </c>
      <c r="H111" s="127"/>
      <c r="I111" s="128" t="str">
        <f>IF($B110="","",IF($B110+1&gt;'Qredits maandlasten'!$C$4,"",I110-J110))</f>
        <v/>
      </c>
      <c r="J111" s="128" t="str">
        <f>IF($B110="","",IF($B110+1&gt;'Qredits maandlasten'!$C$4,"",IF(B110&lt;'Qredits maandlasten'!$C$11-1,0,IF('Qredits maandlasten'!$C$10=dropdowns!$A$121,'Qredits maandlasten'!$J$3,IF('Qredits maandlasten'!$C$10=dropdowns!$A$120,IFERROR('Qredits maandlasten'!$J$3-K111,0),0)))))</f>
        <v/>
      </c>
      <c r="K111" s="128" t="str">
        <f>IF($B110="","",IF($B110+1&gt;'Qredits maandlasten'!$C$4,"",G111*I111*'Qredits maandlasten'!$C$8))</f>
        <v/>
      </c>
      <c r="L111" s="128" t="str">
        <f t="shared" si="7"/>
        <v/>
      </c>
      <c r="M111" s="128" t="str">
        <f t="shared" si="5"/>
        <v/>
      </c>
      <c r="N111" s="127"/>
      <c r="O111" s="129" t="str">
        <f>IF($B111="","",'Qredits maandlasten'!$C$8)</f>
        <v/>
      </c>
      <c r="P111" s="129" t="str">
        <f>IF($B111="","",'Qredits maandlasten'!$C$8*(POWER(1+'Qredits maandlasten'!$C$8,$B111-1+1)))</f>
        <v/>
      </c>
      <c r="Q111" s="129" t="str">
        <f t="shared" si="8"/>
        <v/>
      </c>
      <c r="R111" s="127"/>
      <c r="S111" s="128" t="str">
        <f t="shared" si="6"/>
        <v/>
      </c>
      <c r="T111" s="128" t="str">
        <f>IF(S111="","",J111/(POWER(1+'Qredits maandlasten'!$C$8,$B111-1+1)))</f>
        <v/>
      </c>
      <c r="U111" s="130" t="str">
        <f t="shared" si="9"/>
        <v/>
      </c>
      <c r="V111" s="128" t="str">
        <f>IF($B111="","",K111/(POWER(1+'Qredits maandlasten'!$C$8,$B111-1+1)))</f>
        <v/>
      </c>
      <c r="W111" s="127"/>
    </row>
    <row r="112" spans="1:23" s="132" customFormat="1" x14ac:dyDescent="0.2">
      <c r="A112" s="123"/>
      <c r="B112" s="124" t="str">
        <f>IF($B111="","",IF($B111+1&gt;'Qredits maandlasten'!$C$4,"",Schema!B111+1))</f>
        <v/>
      </c>
      <c r="C112" s="125" t="str">
        <f>IF($B111="","",IF($B111+1&gt;'Qredits maandlasten'!$C$4,"",EOMONTH(C111,0)+1))</f>
        <v/>
      </c>
      <c r="D112" s="123"/>
      <c r="E112" s="125" t="str">
        <f>IF($B111="","",IF($B111+1&gt;'Qredits maandlasten'!$C$4,"",F111+1))</f>
        <v/>
      </c>
      <c r="F112" s="125" t="str">
        <f>IF($B111="","",IF($B111+1&gt;'Qredits maandlasten'!$C$4,"",EOMONTH(E112,0)))</f>
        <v/>
      </c>
      <c r="G112" s="126" t="str">
        <f>IF($B111="","",IF($B111+1&gt;'Qredits maandlasten'!$C$4,"",(_xlfn.DAYS(F112,E112)+1)/DAY(F112)))</f>
        <v/>
      </c>
      <c r="H112" s="127"/>
      <c r="I112" s="128" t="str">
        <f>IF($B111="","",IF($B111+1&gt;'Qredits maandlasten'!$C$4,"",I111-J111))</f>
        <v/>
      </c>
      <c r="J112" s="128" t="str">
        <f>IF($B111="","",IF($B111+1&gt;'Qredits maandlasten'!$C$4,"",IF(B111&lt;'Qredits maandlasten'!$C$11-1,0,IF('Qredits maandlasten'!$C$10=dropdowns!$A$121,'Qredits maandlasten'!$J$3,IF('Qredits maandlasten'!$C$10=dropdowns!$A$120,IFERROR('Qredits maandlasten'!$J$3-K112,0),0)))))</f>
        <v/>
      </c>
      <c r="K112" s="128" t="str">
        <f>IF($B111="","",IF($B111+1&gt;'Qredits maandlasten'!$C$4,"",G112*I112*'Qredits maandlasten'!$C$8))</f>
        <v/>
      </c>
      <c r="L112" s="128" t="str">
        <f t="shared" si="7"/>
        <v/>
      </c>
      <c r="M112" s="128" t="str">
        <f t="shared" si="5"/>
        <v/>
      </c>
      <c r="N112" s="127"/>
      <c r="O112" s="129" t="str">
        <f>IF($B112="","",'Qredits maandlasten'!$C$8)</f>
        <v/>
      </c>
      <c r="P112" s="129" t="str">
        <f>IF($B112="","",'Qredits maandlasten'!$C$8*(POWER(1+'Qredits maandlasten'!$C$8,$B112-1+1)))</f>
        <v/>
      </c>
      <c r="Q112" s="129" t="str">
        <f t="shared" si="8"/>
        <v/>
      </c>
      <c r="R112" s="127"/>
      <c r="S112" s="128" t="str">
        <f t="shared" si="6"/>
        <v/>
      </c>
      <c r="T112" s="128" t="str">
        <f>IF(S112="","",J112/(POWER(1+'Qredits maandlasten'!$C$8,$B112-1+1)))</f>
        <v/>
      </c>
      <c r="U112" s="130" t="str">
        <f t="shared" si="9"/>
        <v/>
      </c>
      <c r="V112" s="128" t="str">
        <f>IF($B112="","",K112/(POWER(1+'Qredits maandlasten'!$C$8,$B112-1+1)))</f>
        <v/>
      </c>
      <c r="W112" s="127"/>
    </row>
    <row r="113" spans="1:23" s="132" customFormat="1" x14ac:dyDescent="0.2">
      <c r="A113" s="123"/>
      <c r="B113" s="124" t="str">
        <f>IF($B112="","",IF($B112+1&gt;'Qredits maandlasten'!$C$4,"",Schema!B112+1))</f>
        <v/>
      </c>
      <c r="C113" s="125" t="str">
        <f>IF($B112="","",IF($B112+1&gt;'Qredits maandlasten'!$C$4,"",EOMONTH(C112,0)+1))</f>
        <v/>
      </c>
      <c r="D113" s="123"/>
      <c r="E113" s="125" t="str">
        <f>IF($B112="","",IF($B112+1&gt;'Qredits maandlasten'!$C$4,"",F112+1))</f>
        <v/>
      </c>
      <c r="F113" s="125" t="str">
        <f>IF($B112="","",IF($B112+1&gt;'Qredits maandlasten'!$C$4,"",EOMONTH(E113,0)))</f>
        <v/>
      </c>
      <c r="G113" s="126" t="str">
        <f>IF($B112="","",IF($B112+1&gt;'Qredits maandlasten'!$C$4,"",(_xlfn.DAYS(F113,E113)+1)/DAY(F113)))</f>
        <v/>
      </c>
      <c r="H113" s="127"/>
      <c r="I113" s="128" t="str">
        <f>IF($B112="","",IF($B112+1&gt;'Qredits maandlasten'!$C$4,"",I112-J112))</f>
        <v/>
      </c>
      <c r="J113" s="128" t="str">
        <f>IF($B112="","",IF($B112+1&gt;'Qredits maandlasten'!$C$4,"",IF(B112&lt;'Qredits maandlasten'!$C$11-1,0,IF('Qredits maandlasten'!$C$10=dropdowns!$A$121,'Qredits maandlasten'!$J$3,IF('Qredits maandlasten'!$C$10=dropdowns!$A$120,IFERROR('Qredits maandlasten'!$J$3-K113,0),0)))))</f>
        <v/>
      </c>
      <c r="K113" s="128" t="str">
        <f>IF($B112="","",IF($B112+1&gt;'Qredits maandlasten'!$C$4,"",G113*I113*'Qredits maandlasten'!$C$8))</f>
        <v/>
      </c>
      <c r="L113" s="128" t="str">
        <f t="shared" si="7"/>
        <v/>
      </c>
      <c r="M113" s="128" t="str">
        <f t="shared" si="5"/>
        <v/>
      </c>
      <c r="N113" s="127"/>
      <c r="O113" s="129" t="str">
        <f>IF($B113="","",'Qredits maandlasten'!$C$8)</f>
        <v/>
      </c>
      <c r="P113" s="129" t="str">
        <f>IF($B113="","",'Qredits maandlasten'!$C$8*(POWER(1+'Qredits maandlasten'!$C$8,$B113-1+1)))</f>
        <v/>
      </c>
      <c r="Q113" s="129" t="str">
        <f t="shared" si="8"/>
        <v/>
      </c>
      <c r="R113" s="127"/>
      <c r="S113" s="128" t="str">
        <f t="shared" si="6"/>
        <v/>
      </c>
      <c r="T113" s="128" t="str">
        <f>IF(S113="","",J113/(POWER(1+'Qredits maandlasten'!$C$8,$B113-1+1)))</f>
        <v/>
      </c>
      <c r="U113" s="130" t="str">
        <f t="shared" si="9"/>
        <v/>
      </c>
      <c r="V113" s="128" t="str">
        <f>IF($B113="","",K113/(POWER(1+'Qredits maandlasten'!$C$8,$B113-1+1)))</f>
        <v/>
      </c>
      <c r="W113" s="127"/>
    </row>
    <row r="114" spans="1:23" s="132" customFormat="1" x14ac:dyDescent="0.2">
      <c r="A114" s="123"/>
      <c r="B114" s="124" t="str">
        <f>IF($B113="","",IF($B113+1&gt;'Qredits maandlasten'!$C$4,"",Schema!B113+1))</f>
        <v/>
      </c>
      <c r="C114" s="125" t="str">
        <f>IF($B113="","",IF($B113+1&gt;'Qredits maandlasten'!$C$4,"",EOMONTH(C113,0)+1))</f>
        <v/>
      </c>
      <c r="D114" s="123"/>
      <c r="E114" s="125" t="str">
        <f>IF($B113="","",IF($B113+1&gt;'Qredits maandlasten'!$C$4,"",F113+1))</f>
        <v/>
      </c>
      <c r="F114" s="125" t="str">
        <f>IF($B113="","",IF($B113+1&gt;'Qredits maandlasten'!$C$4,"",EOMONTH(E114,0)))</f>
        <v/>
      </c>
      <c r="G114" s="126" t="str">
        <f>IF($B113="","",IF($B113+1&gt;'Qredits maandlasten'!$C$4,"",(_xlfn.DAYS(F114,E114)+1)/DAY(F114)))</f>
        <v/>
      </c>
      <c r="H114" s="127"/>
      <c r="I114" s="128" t="str">
        <f>IF($B113="","",IF($B113+1&gt;'Qredits maandlasten'!$C$4,"",I113-J113))</f>
        <v/>
      </c>
      <c r="J114" s="128" t="str">
        <f>IF($B113="","",IF($B113+1&gt;'Qredits maandlasten'!$C$4,"",IF(B113&lt;'Qredits maandlasten'!$C$11-1,0,IF('Qredits maandlasten'!$C$10=dropdowns!$A$121,'Qredits maandlasten'!$J$3,IF('Qredits maandlasten'!$C$10=dropdowns!$A$120,IFERROR('Qredits maandlasten'!$J$3-K114,0),0)))))</f>
        <v/>
      </c>
      <c r="K114" s="128" t="str">
        <f>IF($B113="","",IF($B113+1&gt;'Qredits maandlasten'!$C$4,"",G114*I114*'Qredits maandlasten'!$C$8))</f>
        <v/>
      </c>
      <c r="L114" s="128" t="str">
        <f t="shared" si="7"/>
        <v/>
      </c>
      <c r="M114" s="128" t="str">
        <f t="shared" si="5"/>
        <v/>
      </c>
      <c r="N114" s="127"/>
      <c r="O114" s="129" t="str">
        <f>IF($B114="","",'Qredits maandlasten'!$C$8)</f>
        <v/>
      </c>
      <c r="P114" s="129" t="str">
        <f>IF($B114="","",'Qredits maandlasten'!$C$8*(POWER(1+'Qredits maandlasten'!$C$8,$B114-1+1)))</f>
        <v/>
      </c>
      <c r="Q114" s="129" t="str">
        <f t="shared" si="8"/>
        <v/>
      </c>
      <c r="R114" s="127"/>
      <c r="S114" s="128" t="str">
        <f t="shared" si="6"/>
        <v/>
      </c>
      <c r="T114" s="128" t="str">
        <f>IF(S114="","",J114/(POWER(1+'Qredits maandlasten'!$C$8,$B114-1+1)))</f>
        <v/>
      </c>
      <c r="U114" s="130" t="str">
        <f t="shared" si="9"/>
        <v/>
      </c>
      <c r="V114" s="128" t="str">
        <f>IF($B114="","",K114/(POWER(1+'Qredits maandlasten'!$C$8,$B114-1+1)))</f>
        <v/>
      </c>
      <c r="W114" s="127"/>
    </row>
    <row r="115" spans="1:23" s="132" customFormat="1" x14ac:dyDescent="0.2">
      <c r="A115" s="123"/>
      <c r="B115" s="124" t="str">
        <f>IF($B114="","",IF($B114+1&gt;'Qredits maandlasten'!$C$4,"",Schema!B114+1))</f>
        <v/>
      </c>
      <c r="C115" s="125" t="str">
        <f>IF($B114="","",IF($B114+1&gt;'Qredits maandlasten'!$C$4,"",EOMONTH(C114,0)+1))</f>
        <v/>
      </c>
      <c r="D115" s="123"/>
      <c r="E115" s="125" t="str">
        <f>IF($B114="","",IF($B114+1&gt;'Qredits maandlasten'!$C$4,"",F114+1))</f>
        <v/>
      </c>
      <c r="F115" s="125" t="str">
        <f>IF($B114="","",IF($B114+1&gt;'Qredits maandlasten'!$C$4,"",EOMONTH(E115,0)))</f>
        <v/>
      </c>
      <c r="G115" s="126" t="str">
        <f>IF($B114="","",IF($B114+1&gt;'Qredits maandlasten'!$C$4,"",(_xlfn.DAYS(F115,E115)+1)/DAY(F115)))</f>
        <v/>
      </c>
      <c r="H115" s="127"/>
      <c r="I115" s="128" t="str">
        <f>IF($B114="","",IF($B114+1&gt;'Qredits maandlasten'!$C$4,"",I114-J114))</f>
        <v/>
      </c>
      <c r="J115" s="128" t="str">
        <f>IF($B114="","",IF($B114+1&gt;'Qredits maandlasten'!$C$4,"",IF(B114&lt;'Qredits maandlasten'!$C$11-1,0,IF('Qredits maandlasten'!$C$10=dropdowns!$A$121,'Qredits maandlasten'!$J$3,IF('Qredits maandlasten'!$C$10=dropdowns!$A$120,IFERROR('Qredits maandlasten'!$J$3-K115,0),0)))))</f>
        <v/>
      </c>
      <c r="K115" s="128" t="str">
        <f>IF($B114="","",IF($B114+1&gt;'Qredits maandlasten'!$C$4,"",G115*I115*'Qredits maandlasten'!$C$8))</f>
        <v/>
      </c>
      <c r="L115" s="128" t="str">
        <f t="shared" si="7"/>
        <v/>
      </c>
      <c r="M115" s="128" t="str">
        <f t="shared" si="5"/>
        <v/>
      </c>
      <c r="N115" s="127"/>
      <c r="O115" s="129" t="str">
        <f>IF($B115="","",'Qredits maandlasten'!$C$8)</f>
        <v/>
      </c>
      <c r="P115" s="129" t="str">
        <f>IF($B115="","",'Qredits maandlasten'!$C$8*(POWER(1+'Qredits maandlasten'!$C$8,$B115-1+1)))</f>
        <v/>
      </c>
      <c r="Q115" s="129" t="str">
        <f t="shared" si="8"/>
        <v/>
      </c>
      <c r="R115" s="127"/>
      <c r="S115" s="128" t="str">
        <f t="shared" si="6"/>
        <v/>
      </c>
      <c r="T115" s="128" t="str">
        <f>IF(S115="","",J115/(POWER(1+'Qredits maandlasten'!$C$8,$B115-1+1)))</f>
        <v/>
      </c>
      <c r="U115" s="130" t="str">
        <f t="shared" si="9"/>
        <v/>
      </c>
      <c r="V115" s="128" t="str">
        <f>IF($B115="","",K115/(POWER(1+'Qredits maandlasten'!$C$8,$B115-1+1)))</f>
        <v/>
      </c>
      <c r="W115" s="127"/>
    </row>
    <row r="116" spans="1:23" s="132" customFormat="1" x14ac:dyDescent="0.2">
      <c r="A116" s="123"/>
      <c r="B116" s="124" t="str">
        <f>IF($B115="","",IF($B115+1&gt;'Qredits maandlasten'!$C$4,"",Schema!B115+1))</f>
        <v/>
      </c>
      <c r="C116" s="125" t="str">
        <f>IF($B115="","",IF($B115+1&gt;'Qredits maandlasten'!$C$4,"",EOMONTH(C115,0)+1))</f>
        <v/>
      </c>
      <c r="D116" s="123"/>
      <c r="E116" s="125" t="str">
        <f>IF($B115="","",IF($B115+1&gt;'Qredits maandlasten'!$C$4,"",F115+1))</f>
        <v/>
      </c>
      <c r="F116" s="125" t="str">
        <f>IF($B115="","",IF($B115+1&gt;'Qredits maandlasten'!$C$4,"",EOMONTH(E116,0)))</f>
        <v/>
      </c>
      <c r="G116" s="126" t="str">
        <f>IF($B115="","",IF($B115+1&gt;'Qredits maandlasten'!$C$4,"",(_xlfn.DAYS(F116,E116)+1)/DAY(F116)))</f>
        <v/>
      </c>
      <c r="H116" s="127"/>
      <c r="I116" s="128" t="str">
        <f>IF($B115="","",IF($B115+1&gt;'Qredits maandlasten'!$C$4,"",I115-J115))</f>
        <v/>
      </c>
      <c r="J116" s="128" t="str">
        <f>IF($B115="","",IF($B115+1&gt;'Qredits maandlasten'!$C$4,"",IF(B115&lt;'Qredits maandlasten'!$C$11-1,0,IF('Qredits maandlasten'!$C$10=dropdowns!$A$121,'Qredits maandlasten'!$J$3,IF('Qredits maandlasten'!$C$10=dropdowns!$A$120,IFERROR('Qredits maandlasten'!$J$3-K116,0),0)))))</f>
        <v/>
      </c>
      <c r="K116" s="128" t="str">
        <f>IF($B115="","",IF($B115+1&gt;'Qredits maandlasten'!$C$4,"",G116*I116*'Qredits maandlasten'!$C$8))</f>
        <v/>
      </c>
      <c r="L116" s="128" t="str">
        <f t="shared" si="7"/>
        <v/>
      </c>
      <c r="M116" s="128" t="str">
        <f t="shared" si="5"/>
        <v/>
      </c>
      <c r="N116" s="127"/>
      <c r="O116" s="129" t="str">
        <f>IF($B116="","",'Qredits maandlasten'!$C$8)</f>
        <v/>
      </c>
      <c r="P116" s="129" t="str">
        <f>IF($B116="","",'Qredits maandlasten'!$C$8*(POWER(1+'Qredits maandlasten'!$C$8,$B116-1+1)))</f>
        <v/>
      </c>
      <c r="Q116" s="129" t="str">
        <f t="shared" si="8"/>
        <v/>
      </c>
      <c r="R116" s="127"/>
      <c r="S116" s="128" t="str">
        <f t="shared" si="6"/>
        <v/>
      </c>
      <c r="T116" s="128" t="str">
        <f>IF(S116="","",J116/(POWER(1+'Qredits maandlasten'!$C$8,$B116-1+1)))</f>
        <v/>
      </c>
      <c r="U116" s="130" t="str">
        <f t="shared" si="9"/>
        <v/>
      </c>
      <c r="V116" s="128" t="str">
        <f>IF($B116="","",K116/(POWER(1+'Qredits maandlasten'!$C$8,$B116-1+1)))</f>
        <v/>
      </c>
      <c r="W116" s="127"/>
    </row>
    <row r="117" spans="1:23" s="132" customFormat="1" x14ac:dyDescent="0.2">
      <c r="A117" s="123"/>
      <c r="B117" s="124" t="str">
        <f>IF($B116="","",IF($B116+1&gt;'Qredits maandlasten'!$C$4,"",Schema!B116+1))</f>
        <v/>
      </c>
      <c r="C117" s="125" t="str">
        <f>IF($B116="","",IF($B116+1&gt;'Qredits maandlasten'!$C$4,"",EOMONTH(C116,0)+1))</f>
        <v/>
      </c>
      <c r="D117" s="123"/>
      <c r="E117" s="125" t="str">
        <f>IF($B116="","",IF($B116+1&gt;'Qredits maandlasten'!$C$4,"",F116+1))</f>
        <v/>
      </c>
      <c r="F117" s="125" t="str">
        <f>IF($B116="","",IF($B116+1&gt;'Qredits maandlasten'!$C$4,"",EOMONTH(E117,0)))</f>
        <v/>
      </c>
      <c r="G117" s="126" t="str">
        <f>IF($B116="","",IF($B116+1&gt;'Qredits maandlasten'!$C$4,"",(_xlfn.DAYS(F117,E117)+1)/DAY(F117)))</f>
        <v/>
      </c>
      <c r="H117" s="127"/>
      <c r="I117" s="128" t="str">
        <f>IF($B116="","",IF($B116+1&gt;'Qredits maandlasten'!$C$4,"",I116-J116))</f>
        <v/>
      </c>
      <c r="J117" s="128" t="str">
        <f>IF($B116="","",IF($B116+1&gt;'Qredits maandlasten'!$C$4,"",IF(B116&lt;'Qredits maandlasten'!$C$11-1,0,IF('Qredits maandlasten'!$C$10=dropdowns!$A$121,'Qredits maandlasten'!$J$3,IF('Qredits maandlasten'!$C$10=dropdowns!$A$120,IFERROR('Qredits maandlasten'!$J$3-K117,0),0)))))</f>
        <v/>
      </c>
      <c r="K117" s="128" t="str">
        <f>IF($B116="","",IF($B116+1&gt;'Qredits maandlasten'!$C$4,"",G117*I117*'Qredits maandlasten'!$C$8))</f>
        <v/>
      </c>
      <c r="L117" s="128" t="str">
        <f t="shared" si="7"/>
        <v/>
      </c>
      <c r="M117" s="128" t="str">
        <f t="shared" si="5"/>
        <v/>
      </c>
      <c r="N117" s="127"/>
      <c r="O117" s="129" t="str">
        <f>IF($B117="","",'Qredits maandlasten'!$C$8)</f>
        <v/>
      </c>
      <c r="P117" s="129" t="str">
        <f>IF($B117="","",'Qredits maandlasten'!$C$8*(POWER(1+'Qredits maandlasten'!$C$8,$B117-1+1)))</f>
        <v/>
      </c>
      <c r="Q117" s="129" t="str">
        <f t="shared" si="8"/>
        <v/>
      </c>
      <c r="R117" s="127"/>
      <c r="S117" s="128" t="str">
        <f t="shared" si="6"/>
        <v/>
      </c>
      <c r="T117" s="128" t="str">
        <f>IF(S117="","",J117/(POWER(1+'Qredits maandlasten'!$C$8,$B117-1+1)))</f>
        <v/>
      </c>
      <c r="U117" s="130" t="str">
        <f t="shared" si="9"/>
        <v/>
      </c>
      <c r="V117" s="128" t="str">
        <f>IF($B117="","",K117/(POWER(1+'Qredits maandlasten'!$C$8,$B117-1+1)))</f>
        <v/>
      </c>
      <c r="W117" s="127"/>
    </row>
    <row r="118" spans="1:23" s="132" customFormat="1" x14ac:dyDescent="0.2">
      <c r="A118" s="123"/>
      <c r="B118" s="124" t="str">
        <f>IF($B117="","",IF($B117+1&gt;'Qredits maandlasten'!$C$4,"",Schema!B117+1))</f>
        <v/>
      </c>
      <c r="C118" s="125" t="str">
        <f>IF($B117="","",IF($B117+1&gt;'Qredits maandlasten'!$C$4,"",EOMONTH(C117,0)+1))</f>
        <v/>
      </c>
      <c r="D118" s="123"/>
      <c r="E118" s="125" t="str">
        <f>IF($B117="","",IF($B117+1&gt;'Qredits maandlasten'!$C$4,"",F117+1))</f>
        <v/>
      </c>
      <c r="F118" s="125" t="str">
        <f>IF($B117="","",IF($B117+1&gt;'Qredits maandlasten'!$C$4,"",EOMONTH(E118,0)))</f>
        <v/>
      </c>
      <c r="G118" s="126" t="str">
        <f>IF($B117="","",IF($B117+1&gt;'Qredits maandlasten'!$C$4,"",(_xlfn.DAYS(F118,E118)+1)/DAY(F118)))</f>
        <v/>
      </c>
      <c r="H118" s="127"/>
      <c r="I118" s="128" t="str">
        <f>IF($B117="","",IF($B117+1&gt;'Qredits maandlasten'!$C$4,"",I117-J117))</f>
        <v/>
      </c>
      <c r="J118" s="128" t="str">
        <f>IF($B117="","",IF($B117+1&gt;'Qredits maandlasten'!$C$4,"",IF(B117&lt;'Qredits maandlasten'!$C$11-1,0,IF('Qredits maandlasten'!$C$10=dropdowns!$A$121,'Qredits maandlasten'!$J$3,IF('Qredits maandlasten'!$C$10=dropdowns!$A$120,IFERROR('Qredits maandlasten'!$J$3-K118,0),0)))))</f>
        <v/>
      </c>
      <c r="K118" s="128" t="str">
        <f>IF($B117="","",IF($B117+1&gt;'Qredits maandlasten'!$C$4,"",G118*I118*'Qredits maandlasten'!$C$8))</f>
        <v/>
      </c>
      <c r="L118" s="128" t="str">
        <f t="shared" si="7"/>
        <v/>
      </c>
      <c r="M118" s="128" t="str">
        <f t="shared" si="5"/>
        <v/>
      </c>
      <c r="N118" s="127"/>
      <c r="O118" s="129" t="str">
        <f>IF($B118="","",'Qredits maandlasten'!$C$8)</f>
        <v/>
      </c>
      <c r="P118" s="129" t="str">
        <f>IF($B118="","",'Qredits maandlasten'!$C$8*(POWER(1+'Qredits maandlasten'!$C$8,$B118-1+1)))</f>
        <v/>
      </c>
      <c r="Q118" s="129" t="str">
        <f t="shared" si="8"/>
        <v/>
      </c>
      <c r="R118" s="127"/>
      <c r="S118" s="128" t="str">
        <f t="shared" si="6"/>
        <v/>
      </c>
      <c r="T118" s="128" t="str">
        <f>IF(S118="","",J118/(POWER(1+'Qredits maandlasten'!$C$8,$B118-1+1)))</f>
        <v/>
      </c>
      <c r="U118" s="130" t="str">
        <f t="shared" si="9"/>
        <v/>
      </c>
      <c r="V118" s="128" t="str">
        <f>IF($B118="","",K118/(POWER(1+'Qredits maandlasten'!$C$8,$B118-1+1)))</f>
        <v/>
      </c>
      <c r="W118" s="127"/>
    </row>
    <row r="119" spans="1:23" s="132" customFormat="1" x14ac:dyDescent="0.2">
      <c r="A119" s="123"/>
      <c r="B119" s="124" t="str">
        <f>IF($B118="","",IF($B118+1&gt;'Qredits maandlasten'!$C$4,"",Schema!B118+1))</f>
        <v/>
      </c>
      <c r="C119" s="125" t="str">
        <f>IF($B118="","",IF($B118+1&gt;'Qredits maandlasten'!$C$4,"",EOMONTH(C118,0)+1))</f>
        <v/>
      </c>
      <c r="D119" s="123"/>
      <c r="E119" s="125" t="str">
        <f>IF($B118="","",IF($B118+1&gt;'Qredits maandlasten'!$C$4,"",F118+1))</f>
        <v/>
      </c>
      <c r="F119" s="125" t="str">
        <f>IF($B118="","",IF($B118+1&gt;'Qredits maandlasten'!$C$4,"",EOMONTH(E119,0)))</f>
        <v/>
      </c>
      <c r="G119" s="126" t="str">
        <f>IF($B118="","",IF($B118+1&gt;'Qredits maandlasten'!$C$4,"",(_xlfn.DAYS(F119,E119)+1)/DAY(F119)))</f>
        <v/>
      </c>
      <c r="H119" s="127"/>
      <c r="I119" s="128" t="str">
        <f>IF($B118="","",IF($B118+1&gt;'Qredits maandlasten'!$C$4,"",I118-J118))</f>
        <v/>
      </c>
      <c r="J119" s="128" t="str">
        <f>IF($B118="","",IF($B118+1&gt;'Qredits maandlasten'!$C$4,"",IF(B118&lt;'Qredits maandlasten'!$C$11-1,0,IF('Qredits maandlasten'!$C$10=dropdowns!$A$121,'Qredits maandlasten'!$J$3,IF('Qredits maandlasten'!$C$10=dropdowns!$A$120,IFERROR('Qredits maandlasten'!$J$3-K119,0),0)))))</f>
        <v/>
      </c>
      <c r="K119" s="128" t="str">
        <f>IF($B118="","",IF($B118+1&gt;'Qredits maandlasten'!$C$4,"",G119*I119*'Qredits maandlasten'!$C$8))</f>
        <v/>
      </c>
      <c r="L119" s="128" t="str">
        <f t="shared" si="7"/>
        <v/>
      </c>
      <c r="M119" s="128" t="str">
        <f t="shared" si="5"/>
        <v/>
      </c>
      <c r="N119" s="127"/>
      <c r="O119" s="129" t="str">
        <f>IF($B119="","",'Qredits maandlasten'!$C$8)</f>
        <v/>
      </c>
      <c r="P119" s="129" t="str">
        <f>IF($B119="","",'Qredits maandlasten'!$C$8*(POWER(1+'Qredits maandlasten'!$C$8,$B119-1+1)))</f>
        <v/>
      </c>
      <c r="Q119" s="129" t="str">
        <f t="shared" si="8"/>
        <v/>
      </c>
      <c r="R119" s="127"/>
      <c r="S119" s="128" t="str">
        <f t="shared" si="6"/>
        <v/>
      </c>
      <c r="T119" s="128" t="str">
        <f>IF(S119="","",J119/(POWER(1+'Qredits maandlasten'!$C$8,$B119-1+1)))</f>
        <v/>
      </c>
      <c r="U119" s="130" t="str">
        <f t="shared" si="9"/>
        <v/>
      </c>
      <c r="V119" s="128" t="str">
        <f>IF($B119="","",K119/(POWER(1+'Qredits maandlasten'!$C$8,$B119-1+1)))</f>
        <v/>
      </c>
      <c r="W119" s="127"/>
    </row>
    <row r="120" spans="1:23" s="132" customFormat="1" x14ac:dyDescent="0.2">
      <c r="A120" s="123"/>
      <c r="B120" s="124" t="str">
        <f>IF($B119="","",IF($B119+1&gt;'Qredits maandlasten'!$C$4,"",Schema!B119+1))</f>
        <v/>
      </c>
      <c r="C120" s="125" t="str">
        <f>IF($B119="","",IF($B119+1&gt;'Qredits maandlasten'!$C$4,"",EOMONTH(C119,0)+1))</f>
        <v/>
      </c>
      <c r="D120" s="123"/>
      <c r="E120" s="125" t="str">
        <f>IF($B119="","",IF($B119+1&gt;'Qredits maandlasten'!$C$4,"",F119+1))</f>
        <v/>
      </c>
      <c r="F120" s="125" t="str">
        <f>IF($B119="","",IF($B119+1&gt;'Qredits maandlasten'!$C$4,"",EOMONTH(E120,0)))</f>
        <v/>
      </c>
      <c r="G120" s="126" t="str">
        <f>IF($B119="","",IF($B119+1&gt;'Qredits maandlasten'!$C$4,"",(_xlfn.DAYS(F120,E120)+1)/DAY(F120)))</f>
        <v/>
      </c>
      <c r="H120" s="127"/>
      <c r="I120" s="128" t="str">
        <f>IF($B119="","",IF($B119+1&gt;'Qredits maandlasten'!$C$4,"",I119-J119))</f>
        <v/>
      </c>
      <c r="J120" s="128" t="str">
        <f>IF($B119="","",IF($B119+1&gt;'Qredits maandlasten'!$C$4,"",IF(B119&lt;'Qredits maandlasten'!$C$11-1,0,IF('Qredits maandlasten'!$C$10=dropdowns!$A$121,'Qredits maandlasten'!$J$3,IF('Qredits maandlasten'!$C$10=dropdowns!$A$120,IFERROR('Qredits maandlasten'!$J$3-K120,0),0)))))</f>
        <v/>
      </c>
      <c r="K120" s="128" t="str">
        <f>IF($B119="","",IF($B119+1&gt;'Qredits maandlasten'!$C$4,"",G120*I120*'Qredits maandlasten'!$C$8))</f>
        <v/>
      </c>
      <c r="L120" s="128" t="str">
        <f t="shared" si="7"/>
        <v/>
      </c>
      <c r="M120" s="128" t="str">
        <f t="shared" si="5"/>
        <v/>
      </c>
      <c r="N120" s="127"/>
      <c r="O120" s="129" t="str">
        <f>IF($B120="","",'Qredits maandlasten'!$C$8)</f>
        <v/>
      </c>
      <c r="P120" s="129" t="str">
        <f>IF($B120="","",'Qredits maandlasten'!$C$8*(POWER(1+'Qredits maandlasten'!$C$8,$B120-1+1)))</f>
        <v/>
      </c>
      <c r="Q120" s="129" t="str">
        <f t="shared" si="8"/>
        <v/>
      </c>
      <c r="R120" s="127"/>
      <c r="S120" s="128" t="str">
        <f t="shared" si="6"/>
        <v/>
      </c>
      <c r="T120" s="128" t="str">
        <f>IF(S120="","",J120/(POWER(1+'Qredits maandlasten'!$C$8,$B120-1+1)))</f>
        <v/>
      </c>
      <c r="U120" s="130" t="str">
        <f t="shared" si="9"/>
        <v/>
      </c>
      <c r="V120" s="128" t="str">
        <f>IF($B120="","",K120/(POWER(1+'Qredits maandlasten'!$C$8,$B120-1+1)))</f>
        <v/>
      </c>
      <c r="W120" s="127"/>
    </row>
    <row r="121" spans="1:23" s="132" customFormat="1" x14ac:dyDescent="0.2">
      <c r="A121" s="123"/>
      <c r="B121" s="124" t="str">
        <f>IF($B120="","",IF($B120+1&gt;'Qredits maandlasten'!$C$4,"",Schema!B120+1))</f>
        <v/>
      </c>
      <c r="C121" s="125" t="str">
        <f>IF($B120="","",IF($B120+1&gt;'Qredits maandlasten'!$C$4,"",EOMONTH(C120,0)+1))</f>
        <v/>
      </c>
      <c r="D121" s="123"/>
      <c r="E121" s="125" t="str">
        <f>IF($B120="","",IF($B120+1&gt;'Qredits maandlasten'!$C$4,"",F120+1))</f>
        <v/>
      </c>
      <c r="F121" s="125" t="str">
        <f>IF($B120="","",IF($B120+1&gt;'Qredits maandlasten'!$C$4,"",EOMONTH(E121,0)))</f>
        <v/>
      </c>
      <c r="G121" s="126" t="str">
        <f>IF($B120="","",IF($B120+1&gt;'Qredits maandlasten'!$C$4,"",(_xlfn.DAYS(F121,E121)+1)/DAY(F121)))</f>
        <v/>
      </c>
      <c r="H121" s="127"/>
      <c r="I121" s="128" t="str">
        <f>IF($B120="","",IF($B120+1&gt;'Qredits maandlasten'!$C$4,"",I120-J120))</f>
        <v/>
      </c>
      <c r="J121" s="128" t="str">
        <f>IF($B120="","",IF($B120+1&gt;'Qredits maandlasten'!$C$4,"",IF(B120&lt;'Qredits maandlasten'!$C$11-1,0,IF('Qredits maandlasten'!$C$10=dropdowns!$A$121,'Qredits maandlasten'!$J$3,IF('Qredits maandlasten'!$C$10=dropdowns!$A$120,IFERROR('Qredits maandlasten'!$J$3-K121,0),0)))))</f>
        <v/>
      </c>
      <c r="K121" s="128" t="str">
        <f>IF($B120="","",IF($B120+1&gt;'Qredits maandlasten'!$C$4,"",G121*I121*'Qredits maandlasten'!$C$8))</f>
        <v/>
      </c>
      <c r="L121" s="128" t="str">
        <f t="shared" si="7"/>
        <v/>
      </c>
      <c r="M121" s="128" t="str">
        <f t="shared" si="5"/>
        <v/>
      </c>
      <c r="N121" s="127"/>
      <c r="O121" s="129" t="str">
        <f>IF($B121="","",'Qredits maandlasten'!$C$8)</f>
        <v/>
      </c>
      <c r="P121" s="129" t="str">
        <f>IF($B121="","",'Qredits maandlasten'!$C$8*(POWER(1+'Qredits maandlasten'!$C$8,$B121-1+1)))</f>
        <v/>
      </c>
      <c r="Q121" s="129" t="str">
        <f t="shared" si="8"/>
        <v/>
      </c>
      <c r="R121" s="127"/>
      <c r="S121" s="128" t="str">
        <f t="shared" si="6"/>
        <v/>
      </c>
      <c r="T121" s="128" t="str">
        <f>IF(S121="","",J121/(POWER(1+'Qredits maandlasten'!$C$8,$B121-1+1)))</f>
        <v/>
      </c>
      <c r="U121" s="130" t="str">
        <f t="shared" si="9"/>
        <v/>
      </c>
      <c r="V121" s="128" t="str">
        <f>IF($B121="","",K121/(POWER(1+'Qredits maandlasten'!$C$8,$B121-1+1)))</f>
        <v/>
      </c>
      <c r="W121" s="127"/>
    </row>
    <row r="122" spans="1:23" s="132" customFormat="1" x14ac:dyDescent="0.2">
      <c r="A122" s="123"/>
      <c r="B122" s="124" t="str">
        <f>IF($B121="","",IF($B121+1&gt;'Qredits maandlasten'!$C$4,"",Schema!B121+1))</f>
        <v/>
      </c>
      <c r="C122" s="125" t="str">
        <f>IF($B121="","",IF($B121+1&gt;'Qredits maandlasten'!$C$4,"",EOMONTH(C121,0)+1))</f>
        <v/>
      </c>
      <c r="D122" s="123"/>
      <c r="E122" s="125" t="str">
        <f>IF($B121="","",IF($B121+1&gt;'Qredits maandlasten'!$C$4,"",F121+1))</f>
        <v/>
      </c>
      <c r="F122" s="125" t="str">
        <f>IF($B121="","",IF($B121+1&gt;'Qredits maandlasten'!$C$4,"",EOMONTH(E122,0)))</f>
        <v/>
      </c>
      <c r="G122" s="126" t="str">
        <f>IF($B121="","",IF($B121+1&gt;'Qredits maandlasten'!$C$4,"",(_xlfn.DAYS(F122,E122)+1)/DAY(F122)))</f>
        <v/>
      </c>
      <c r="H122" s="127"/>
      <c r="I122" s="128" t="str">
        <f>IF($B121="","",IF($B121+1&gt;'Qredits maandlasten'!$C$4,"",I121-J121))</f>
        <v/>
      </c>
      <c r="J122" s="128" t="str">
        <f>IF($B121="","",IF($B121+1&gt;'Qredits maandlasten'!$C$4,"",IF(B121&lt;'Qredits maandlasten'!$C$11-1,0,IF('Qredits maandlasten'!$C$10=dropdowns!$A$121,'Qredits maandlasten'!$J$3,IF('Qredits maandlasten'!$C$10=dropdowns!$A$120,IFERROR('Qredits maandlasten'!$J$3-K122,0),0)))))</f>
        <v/>
      </c>
      <c r="K122" s="128" t="str">
        <f>IF($B121="","",IF($B121+1&gt;'Qredits maandlasten'!$C$4,"",G122*I122*'Qredits maandlasten'!$C$8))</f>
        <v/>
      </c>
      <c r="L122" s="128" t="str">
        <f t="shared" si="7"/>
        <v/>
      </c>
      <c r="M122" s="128" t="str">
        <f t="shared" si="5"/>
        <v/>
      </c>
      <c r="N122" s="127"/>
      <c r="O122" s="129" t="str">
        <f>IF($B122="","",'Qredits maandlasten'!$C$8)</f>
        <v/>
      </c>
      <c r="P122" s="129" t="str">
        <f>IF($B122="","",'Qredits maandlasten'!$C$8*(POWER(1+'Qredits maandlasten'!$C$8,$B122-1+1)))</f>
        <v/>
      </c>
      <c r="Q122" s="129" t="str">
        <f t="shared" si="8"/>
        <v/>
      </c>
      <c r="R122" s="127"/>
      <c r="S122" s="128" t="str">
        <f t="shared" si="6"/>
        <v/>
      </c>
      <c r="T122" s="128" t="str">
        <f>IF(S122="","",J122/(POWER(1+'Qredits maandlasten'!$C$8,$B122-1+1)))</f>
        <v/>
      </c>
      <c r="U122" s="130" t="str">
        <f t="shared" si="9"/>
        <v/>
      </c>
      <c r="V122" s="128" t="str">
        <f>IF($B122="","",K122/(POWER(1+'Qredits maandlasten'!$C$8,$B122-1+1)))</f>
        <v/>
      </c>
      <c r="W122" s="127"/>
    </row>
    <row r="123" spans="1:23" s="132" customFormat="1" x14ac:dyDescent="0.2">
      <c r="A123" s="123"/>
      <c r="B123" s="124" t="str">
        <f>IF($B122="","",IF($B122+1&gt;'Qredits maandlasten'!$C$4,"",Schema!B122+1))</f>
        <v/>
      </c>
      <c r="C123" s="125" t="str">
        <f>IF($B122="","",IF($B122+1&gt;'Qredits maandlasten'!$C$4,"",EOMONTH(C122,0)+1))</f>
        <v/>
      </c>
      <c r="D123" s="123"/>
      <c r="E123" s="125" t="str">
        <f>IF($B122="","",IF($B122+1&gt;'Qredits maandlasten'!$C$4,"",F122+1))</f>
        <v/>
      </c>
      <c r="F123" s="125" t="str">
        <f>IF($B122="","",IF($B122+1&gt;'Qredits maandlasten'!$C$4,"",EOMONTH(E123,0)))</f>
        <v/>
      </c>
      <c r="G123" s="126" t="str">
        <f>IF($B122="","",IF($B122+1&gt;'Qredits maandlasten'!$C$4,"",(_xlfn.DAYS(F123,E123)+1)/DAY(F123)))</f>
        <v/>
      </c>
      <c r="H123" s="127"/>
      <c r="I123" s="128" t="str">
        <f>IF($B122="","",IF($B122+1&gt;'Qredits maandlasten'!$C$4,"",I122-J122))</f>
        <v/>
      </c>
      <c r="J123" s="128" t="str">
        <f>IF($B122="","",IF($B122+1&gt;'Qredits maandlasten'!$C$4,"",IF(B122&lt;'Qredits maandlasten'!$C$11-1,0,IF('Qredits maandlasten'!$C$10=dropdowns!$A$121,'Qredits maandlasten'!$J$3,IF('Qredits maandlasten'!$C$10=dropdowns!$A$120,IFERROR('Qredits maandlasten'!$J$3-K123,0),0)))))</f>
        <v/>
      </c>
      <c r="K123" s="128" t="str">
        <f>IF($B122="","",IF($B122+1&gt;'Qredits maandlasten'!$C$4,"",G123*I123*'Qredits maandlasten'!$C$8))</f>
        <v/>
      </c>
      <c r="L123" s="128" t="str">
        <f t="shared" si="7"/>
        <v/>
      </c>
      <c r="M123" s="128" t="str">
        <f t="shared" si="5"/>
        <v/>
      </c>
      <c r="N123" s="127"/>
      <c r="O123" s="129" t="str">
        <f>IF($B123="","",'Qredits maandlasten'!$C$8)</f>
        <v/>
      </c>
      <c r="P123" s="129" t="str">
        <f>IF($B123="","",'Qredits maandlasten'!$C$8*(POWER(1+'Qredits maandlasten'!$C$8,$B123-1+1)))</f>
        <v/>
      </c>
      <c r="Q123" s="129" t="str">
        <f t="shared" si="8"/>
        <v/>
      </c>
      <c r="R123" s="127"/>
      <c r="S123" s="128" t="str">
        <f t="shared" si="6"/>
        <v/>
      </c>
      <c r="T123" s="128" t="str">
        <f>IF(S123="","",J123/(POWER(1+'Qredits maandlasten'!$C$8,$B123-1+1)))</f>
        <v/>
      </c>
      <c r="U123" s="130" t="str">
        <f t="shared" si="9"/>
        <v/>
      </c>
      <c r="V123" s="128" t="str">
        <f>IF($B123="","",K123/(POWER(1+'Qredits maandlasten'!$C$8,$B123-1+1)))</f>
        <v/>
      </c>
      <c r="W123" s="127"/>
    </row>
    <row r="124" spans="1:23" s="132" customFormat="1" x14ac:dyDescent="0.2">
      <c r="A124" s="123"/>
      <c r="B124" s="124" t="str">
        <f>IF($B123="","",IF($B123+1&gt;'Qredits maandlasten'!$C$4,"",Schema!B123+1))</f>
        <v/>
      </c>
      <c r="C124" s="125" t="str">
        <f>IF($B123="","",IF($B123+1&gt;'Qredits maandlasten'!$C$4,"",EOMONTH(C123,0)+1))</f>
        <v/>
      </c>
      <c r="D124" s="123"/>
      <c r="E124" s="125" t="str">
        <f>IF($B123="","",IF($B123+1&gt;'Qredits maandlasten'!$C$4,"",F123+1))</f>
        <v/>
      </c>
      <c r="F124" s="125" t="str">
        <f>IF($B123="","",IF($B123+1&gt;'Qredits maandlasten'!$C$4,"",EOMONTH(E124,0)))</f>
        <v/>
      </c>
      <c r="G124" s="126" t="str">
        <f>IF($B123="","",IF($B123+1&gt;'Qredits maandlasten'!$C$4,"",(_xlfn.DAYS(F124,E124)+1)/DAY(F124)))</f>
        <v/>
      </c>
      <c r="H124" s="127"/>
      <c r="I124" s="128" t="str">
        <f>IF($B123="","",IF($B123+1&gt;'Qredits maandlasten'!$C$4,"",I123-J123))</f>
        <v/>
      </c>
      <c r="J124" s="128" t="str">
        <f>IF($B123="","",IF($B123+1&gt;'Qredits maandlasten'!$C$4,"",IF(B123&lt;'Qredits maandlasten'!$C$11-1,0,IF('Qredits maandlasten'!$C$10=dropdowns!$A$121,'Qredits maandlasten'!$J$3,IF('Qredits maandlasten'!$C$10=dropdowns!$A$120,IFERROR('Qredits maandlasten'!$J$3-K124,0),0)))))</f>
        <v/>
      </c>
      <c r="K124" s="128" t="str">
        <f>IF($B123="","",IF($B123+1&gt;'Qredits maandlasten'!$C$4,"",G124*I124*'Qredits maandlasten'!$C$8))</f>
        <v/>
      </c>
      <c r="L124" s="128" t="str">
        <f t="shared" si="7"/>
        <v/>
      </c>
      <c r="M124" s="128" t="str">
        <f t="shared" si="5"/>
        <v/>
      </c>
      <c r="N124" s="127"/>
      <c r="O124" s="129" t="str">
        <f>IF($B124="","",'Qredits maandlasten'!$C$8)</f>
        <v/>
      </c>
      <c r="P124" s="129" t="str">
        <f>IF($B124="","",'Qredits maandlasten'!$C$8*(POWER(1+'Qredits maandlasten'!$C$8,$B124-1+1)))</f>
        <v/>
      </c>
      <c r="Q124" s="129" t="str">
        <f t="shared" si="8"/>
        <v/>
      </c>
      <c r="R124" s="127"/>
      <c r="S124" s="128" t="str">
        <f t="shared" si="6"/>
        <v/>
      </c>
      <c r="T124" s="128" t="str">
        <f>IF(S124="","",J124/(POWER(1+'Qredits maandlasten'!$C$8,$B124-1+1)))</f>
        <v/>
      </c>
      <c r="U124" s="130" t="str">
        <f t="shared" si="9"/>
        <v/>
      </c>
      <c r="V124" s="128" t="str">
        <f>IF($B124="","",K124/(POWER(1+'Qredits maandlasten'!$C$8,$B124-1+1)))</f>
        <v/>
      </c>
      <c r="W124" s="127"/>
    </row>
    <row r="125" spans="1:23" s="132" customFormat="1" x14ac:dyDescent="0.2">
      <c r="A125" s="123"/>
      <c r="B125" s="124" t="str">
        <f>IF($B124="","",IF($B124+1&gt;'Qredits maandlasten'!$C$4,"",Schema!B124+1))</f>
        <v/>
      </c>
      <c r="C125" s="125" t="str">
        <f>IF($B124="","",IF($B124+1&gt;'Qredits maandlasten'!$C$4,"",EOMONTH(C124,0)+1))</f>
        <v/>
      </c>
      <c r="D125" s="123"/>
      <c r="E125" s="125" t="str">
        <f>IF($B124="","",IF($B124+1&gt;'Qredits maandlasten'!$C$4,"",F124+1))</f>
        <v/>
      </c>
      <c r="F125" s="125" t="str">
        <f>IF($B124="","",IF($B124+1&gt;'Qredits maandlasten'!$C$4,"",EOMONTH(E125,0)))</f>
        <v/>
      </c>
      <c r="G125" s="126" t="str">
        <f>IF($B124="","",IF($B124+1&gt;'Qredits maandlasten'!$C$4,"",(_xlfn.DAYS(F125,E125)+1)/DAY(F125)))</f>
        <v/>
      </c>
      <c r="H125" s="127"/>
      <c r="I125" s="128" t="str">
        <f>IF($B124="","",IF($B124+1&gt;'Qredits maandlasten'!$C$4,"",I124-J124))</f>
        <v/>
      </c>
      <c r="J125" s="128" t="str">
        <f>IF($B124="","",IF($B124+1&gt;'Qredits maandlasten'!$C$4,"",IF(B124&lt;'Qredits maandlasten'!$C$11-1,0,IF('Qredits maandlasten'!$C$10=dropdowns!$A$121,'Qredits maandlasten'!$J$3,IF('Qredits maandlasten'!$C$10=dropdowns!$A$120,IFERROR('Qredits maandlasten'!$J$3-K125,0),0)))))</f>
        <v/>
      </c>
      <c r="K125" s="128" t="str">
        <f>IF($B124="","",IF($B124+1&gt;'Qredits maandlasten'!$C$4,"",G125*I125*'Qredits maandlasten'!$C$8))</f>
        <v/>
      </c>
      <c r="L125" s="128" t="str">
        <f t="shared" si="7"/>
        <v/>
      </c>
      <c r="M125" s="128" t="str">
        <f t="shared" si="5"/>
        <v/>
      </c>
      <c r="N125" s="127"/>
      <c r="O125" s="129" t="str">
        <f>IF($B125="","",'Qredits maandlasten'!$C$8)</f>
        <v/>
      </c>
      <c r="P125" s="129" t="str">
        <f>IF($B125="","",'Qredits maandlasten'!$C$8*(POWER(1+'Qredits maandlasten'!$C$8,$B125-1+1)))</f>
        <v/>
      </c>
      <c r="Q125" s="129" t="str">
        <f t="shared" si="8"/>
        <v/>
      </c>
      <c r="R125" s="127"/>
      <c r="S125" s="128" t="str">
        <f t="shared" si="6"/>
        <v/>
      </c>
      <c r="T125" s="128" t="str">
        <f>IF(S125="","",J125/(POWER(1+'Qredits maandlasten'!$C$8,$B125-1+1)))</f>
        <v/>
      </c>
      <c r="U125" s="130" t="str">
        <f t="shared" si="9"/>
        <v/>
      </c>
      <c r="V125" s="128" t="str">
        <f>IF($B125="","",K125/(POWER(1+'Qredits maandlasten'!$C$8,$B125-1+1)))</f>
        <v/>
      </c>
      <c r="W125" s="127"/>
    </row>
    <row r="126" spans="1:23" s="132" customFormat="1" x14ac:dyDescent="0.2">
      <c r="A126" s="123"/>
      <c r="B126" s="124" t="str">
        <f>IF($B125="","",IF($B125+1&gt;'Qredits maandlasten'!$C$4,"",Schema!B125+1))</f>
        <v/>
      </c>
      <c r="C126" s="125" t="str">
        <f>IF($B125="","",IF($B125+1&gt;'Qredits maandlasten'!$C$4,"",EOMONTH(C125,0)+1))</f>
        <v/>
      </c>
      <c r="D126" s="123"/>
      <c r="E126" s="125" t="str">
        <f>IF($B125="","",IF($B125+1&gt;'Qredits maandlasten'!$C$4,"",F125+1))</f>
        <v/>
      </c>
      <c r="F126" s="125" t="str">
        <f>IF($B125="","",IF($B125+1&gt;'Qredits maandlasten'!$C$4,"",EOMONTH(E126,0)))</f>
        <v/>
      </c>
      <c r="G126" s="126" t="str">
        <f>IF($B125="","",IF($B125+1&gt;'Qredits maandlasten'!$C$4,"",(_xlfn.DAYS(F126,E126)+1)/DAY(F126)))</f>
        <v/>
      </c>
      <c r="H126" s="127"/>
      <c r="I126" s="128" t="str">
        <f>IF($B125="","",IF($B125+1&gt;'Qredits maandlasten'!$C$4,"",I125-J125))</f>
        <v/>
      </c>
      <c r="J126" s="128" t="str">
        <f>IF($B125="","",IF($B125+1&gt;'Qredits maandlasten'!$C$4,"",IF(B125&lt;'Qredits maandlasten'!$C$11-1,0,IF('Qredits maandlasten'!$C$10=dropdowns!$A$121,'Qredits maandlasten'!$J$3,IF('Qredits maandlasten'!$C$10=dropdowns!$A$120,IFERROR('Qredits maandlasten'!$J$3-K126,0),0)))))</f>
        <v/>
      </c>
      <c r="K126" s="128" t="str">
        <f>IF($B125="","",IF($B125+1&gt;'Qredits maandlasten'!$C$4,"",G126*I126*'Qredits maandlasten'!$C$8))</f>
        <v/>
      </c>
      <c r="L126" s="128" t="str">
        <f t="shared" si="7"/>
        <v/>
      </c>
      <c r="M126" s="128" t="str">
        <f t="shared" si="5"/>
        <v/>
      </c>
      <c r="N126" s="127"/>
      <c r="O126" s="129" t="str">
        <f>IF($B126="","",'Qredits maandlasten'!$C$8)</f>
        <v/>
      </c>
      <c r="P126" s="129" t="str">
        <f>IF($B126="","",'Qredits maandlasten'!$C$8*(POWER(1+'Qredits maandlasten'!$C$8,$B126-1+1)))</f>
        <v/>
      </c>
      <c r="Q126" s="129" t="str">
        <f t="shared" si="8"/>
        <v/>
      </c>
      <c r="R126" s="127"/>
      <c r="S126" s="128" t="str">
        <f t="shared" si="6"/>
        <v/>
      </c>
      <c r="T126" s="128" t="str">
        <f>IF(S126="","",J126/(POWER(1+'Qredits maandlasten'!$C$8,$B126-1+1)))</f>
        <v/>
      </c>
      <c r="U126" s="130" t="str">
        <f t="shared" si="9"/>
        <v/>
      </c>
      <c r="V126" s="128" t="str">
        <f>IF($B126="","",K126/(POWER(1+'Qredits maandlasten'!$C$8,$B126-1+1)))</f>
        <v/>
      </c>
      <c r="W126" s="127"/>
    </row>
    <row r="127" spans="1:23" s="132" customFormat="1" x14ac:dyDescent="0.2">
      <c r="A127" s="123"/>
      <c r="B127" s="124" t="str">
        <f>IF($B126="","",IF($B126+1&gt;'Qredits maandlasten'!$C$4,"",Schema!B126+1))</f>
        <v/>
      </c>
      <c r="C127" s="125" t="str">
        <f>IF($B126="","",IF($B126+1&gt;'Qredits maandlasten'!$C$4,"",EOMONTH(C126,0)+1))</f>
        <v/>
      </c>
      <c r="D127" s="123"/>
      <c r="E127" s="125" t="str">
        <f>IF($B126="","",IF($B126+1&gt;'Qredits maandlasten'!$C$4,"",F126+1))</f>
        <v/>
      </c>
      <c r="F127" s="125" t="str">
        <f>IF($B126="","",IF($B126+1&gt;'Qredits maandlasten'!$C$4,"",EOMONTH(E127,0)))</f>
        <v/>
      </c>
      <c r="G127" s="126" t="str">
        <f>IF($B126="","",IF($B126+1&gt;'Qredits maandlasten'!$C$4,"",(_xlfn.DAYS(F127,E127)+1)/DAY(F127)))</f>
        <v/>
      </c>
      <c r="H127" s="127"/>
      <c r="I127" s="128" t="str">
        <f>IF($B126="","",IF($B126+1&gt;'Qredits maandlasten'!$C$4,"",I126-J126))</f>
        <v/>
      </c>
      <c r="J127" s="128" t="str">
        <f>IF($B126="","",IF($B126+1&gt;'Qredits maandlasten'!$C$4,"",IF(B126&lt;'Qredits maandlasten'!$C$11-1,0,IF('Qredits maandlasten'!$C$10=dropdowns!$A$121,'Qredits maandlasten'!$J$3,IF('Qredits maandlasten'!$C$10=dropdowns!$A$120,IFERROR('Qredits maandlasten'!$J$3-K127,0),0)))))</f>
        <v/>
      </c>
      <c r="K127" s="128" t="str">
        <f>IF($B126="","",IF($B126+1&gt;'Qredits maandlasten'!$C$4,"",G127*I127*'Qredits maandlasten'!$C$8))</f>
        <v/>
      </c>
      <c r="L127" s="128" t="str">
        <f t="shared" si="7"/>
        <v/>
      </c>
      <c r="M127" s="128" t="str">
        <f t="shared" si="5"/>
        <v/>
      </c>
      <c r="N127" s="127"/>
      <c r="O127" s="129" t="str">
        <f>IF($B127="","",'Qredits maandlasten'!$C$8)</f>
        <v/>
      </c>
      <c r="P127" s="129" t="str">
        <f>IF($B127="","",'Qredits maandlasten'!$C$8*(POWER(1+'Qredits maandlasten'!$C$8,$B127-1+1)))</f>
        <v/>
      </c>
      <c r="Q127" s="129" t="str">
        <f t="shared" si="8"/>
        <v/>
      </c>
      <c r="R127" s="127"/>
      <c r="S127" s="128" t="str">
        <f t="shared" si="6"/>
        <v/>
      </c>
      <c r="T127" s="128" t="str">
        <f>IF(S127="","",J127/(POWER(1+'Qredits maandlasten'!$C$8,$B127-1+1)))</f>
        <v/>
      </c>
      <c r="U127" s="130" t="str">
        <f t="shared" si="9"/>
        <v/>
      </c>
      <c r="V127" s="128" t="str">
        <f>IF($B127="","",K127/(POWER(1+'Qredits maandlasten'!$C$8,$B127-1+1)))</f>
        <v/>
      </c>
      <c r="W127" s="127"/>
    </row>
    <row r="128" spans="1:23" s="132" customFormat="1" x14ac:dyDescent="0.2">
      <c r="A128" s="123"/>
      <c r="B128" s="124" t="str">
        <f>IF($B127="","",IF($B127+1&gt;'Qredits maandlasten'!$C$4,"",Schema!B127+1))</f>
        <v/>
      </c>
      <c r="C128" s="125" t="str">
        <f>IF($B127="","",IF($B127+1&gt;'Qredits maandlasten'!$C$4,"",EOMONTH(C127,0)+1))</f>
        <v/>
      </c>
      <c r="D128" s="123"/>
      <c r="E128" s="125" t="str">
        <f>IF($B127="","",IF($B127+1&gt;'Qredits maandlasten'!$C$4,"",F127+1))</f>
        <v/>
      </c>
      <c r="F128" s="125" t="str">
        <f>IF($B127="","",IF($B127+1&gt;'Qredits maandlasten'!$C$4,"",EOMONTH(E128,0)))</f>
        <v/>
      </c>
      <c r="G128" s="126" t="str">
        <f>IF($B127="","",IF($B127+1&gt;'Qredits maandlasten'!$C$4,"",(_xlfn.DAYS(F128,E128)+1)/DAY(F128)))</f>
        <v/>
      </c>
      <c r="H128" s="127"/>
      <c r="I128" s="128" t="str">
        <f>IF($B127="","",IF($B127+1&gt;'Qredits maandlasten'!$C$4,"",I127-J127))</f>
        <v/>
      </c>
      <c r="J128" s="128" t="str">
        <f>IF($B127="","",IF($B127+1&gt;'Qredits maandlasten'!$C$4,"",IF(B127&lt;'Qredits maandlasten'!$C$11-1,0,IF('Qredits maandlasten'!$C$10=dropdowns!$A$121,'Qredits maandlasten'!$J$3,IF('Qredits maandlasten'!$C$10=dropdowns!$A$120,IFERROR('Qredits maandlasten'!$J$3-K128,0),0)))))</f>
        <v/>
      </c>
      <c r="K128" s="128" t="str">
        <f>IF($B127="","",IF($B127+1&gt;'Qredits maandlasten'!$C$4,"",G128*I128*'Qredits maandlasten'!$C$8))</f>
        <v/>
      </c>
      <c r="L128" s="128" t="str">
        <f t="shared" si="7"/>
        <v/>
      </c>
      <c r="M128" s="128" t="str">
        <f t="shared" si="5"/>
        <v/>
      </c>
      <c r="N128" s="127"/>
      <c r="O128" s="129" t="str">
        <f>IF($B128="","",'Qredits maandlasten'!$C$8)</f>
        <v/>
      </c>
      <c r="P128" s="129" t="str">
        <f>IF($B128="","",'Qredits maandlasten'!$C$8*(POWER(1+'Qredits maandlasten'!$C$8,$B128-1+1)))</f>
        <v/>
      </c>
      <c r="Q128" s="129" t="str">
        <f t="shared" si="8"/>
        <v/>
      </c>
      <c r="R128" s="127"/>
      <c r="S128" s="128" t="str">
        <f t="shared" si="6"/>
        <v/>
      </c>
      <c r="T128" s="128" t="str">
        <f>IF(S128="","",J128/(POWER(1+'Qredits maandlasten'!$C$8,$B128-1+1)))</f>
        <v/>
      </c>
      <c r="U128" s="130" t="str">
        <f t="shared" si="9"/>
        <v/>
      </c>
      <c r="V128" s="128" t="str">
        <f>IF($B128="","",K128/(POWER(1+'Qredits maandlasten'!$C$8,$B128-1+1)))</f>
        <v/>
      </c>
      <c r="W128" s="127"/>
    </row>
    <row r="129" spans="1:23" s="132" customFormat="1" x14ac:dyDescent="0.2">
      <c r="A129" s="123"/>
      <c r="B129" s="124" t="str">
        <f>IF($B128="","",IF($B128+1&gt;'Qredits maandlasten'!$C$4,"",Schema!B128+1))</f>
        <v/>
      </c>
      <c r="C129" s="125" t="str">
        <f>IF($B128="","",IF($B128+1&gt;'Qredits maandlasten'!$C$4,"",EOMONTH(C128,0)+1))</f>
        <v/>
      </c>
      <c r="D129" s="123"/>
      <c r="E129" s="125" t="str">
        <f>IF($B128="","",IF($B128+1&gt;'Qredits maandlasten'!$C$4,"",F128+1))</f>
        <v/>
      </c>
      <c r="F129" s="125" t="str">
        <f>IF($B128="","",IF($B128+1&gt;'Qredits maandlasten'!$C$4,"",EOMONTH(E129,0)))</f>
        <v/>
      </c>
      <c r="G129" s="126" t="str">
        <f>IF($B128="","",IF($B128+1&gt;'Qredits maandlasten'!$C$4,"",(_xlfn.DAYS(F129,E129)+1)/DAY(F129)))</f>
        <v/>
      </c>
      <c r="H129" s="127"/>
      <c r="I129" s="128" t="str">
        <f>IF($B128="","",IF($B128+1&gt;'Qredits maandlasten'!$C$4,"",I128-J128))</f>
        <v/>
      </c>
      <c r="J129" s="128" t="str">
        <f>IF($B128="","",IF($B128+1&gt;'Qredits maandlasten'!$C$4,"",IF(B128&lt;'Qredits maandlasten'!$C$11-1,0,IF('Qredits maandlasten'!$C$10=dropdowns!$A$121,'Qredits maandlasten'!$J$3,IF('Qredits maandlasten'!$C$10=dropdowns!$A$120,IFERROR('Qredits maandlasten'!$J$3-K129,0),0)))))</f>
        <v/>
      </c>
      <c r="K129" s="128" t="str">
        <f>IF($B128="","",IF($B128+1&gt;'Qredits maandlasten'!$C$4,"",G129*I129*'Qredits maandlasten'!$C$8))</f>
        <v/>
      </c>
      <c r="L129" s="128" t="str">
        <f t="shared" si="7"/>
        <v/>
      </c>
      <c r="M129" s="128" t="str">
        <f t="shared" si="5"/>
        <v/>
      </c>
      <c r="N129" s="127"/>
      <c r="O129" s="129" t="str">
        <f>IF($B129="","",'Qredits maandlasten'!$C$8)</f>
        <v/>
      </c>
      <c r="P129" s="129" t="str">
        <f>IF($B129="","",'Qredits maandlasten'!$C$8*(POWER(1+'Qredits maandlasten'!$C$8,$B129-1+1)))</f>
        <v/>
      </c>
      <c r="Q129" s="129" t="str">
        <f t="shared" si="8"/>
        <v/>
      </c>
      <c r="R129" s="127"/>
      <c r="S129" s="128" t="str">
        <f t="shared" si="6"/>
        <v/>
      </c>
      <c r="T129" s="128" t="str">
        <f>IF(S129="","",J129/(POWER(1+'Qredits maandlasten'!$C$8,$B129-1+1)))</f>
        <v/>
      </c>
      <c r="U129" s="130" t="str">
        <f t="shared" si="9"/>
        <v/>
      </c>
      <c r="V129" s="128" t="str">
        <f>IF($B129="","",K129/(POWER(1+'Qredits maandlasten'!$C$8,$B129-1+1)))</f>
        <v/>
      </c>
      <c r="W129" s="127"/>
    </row>
    <row r="130" spans="1:23" s="132" customFormat="1" x14ac:dyDescent="0.2">
      <c r="A130" s="123"/>
      <c r="B130" s="124" t="str">
        <f>IF($B129="","",IF($B129+1&gt;'Qredits maandlasten'!$C$4,"",Schema!B129+1))</f>
        <v/>
      </c>
      <c r="C130" s="125" t="str">
        <f>IF($B129="","",IF($B129+1&gt;'Qredits maandlasten'!$C$4,"",EOMONTH(C129,0)+1))</f>
        <v/>
      </c>
      <c r="D130" s="123"/>
      <c r="E130" s="125" t="str">
        <f>IF($B129="","",IF($B129+1&gt;'Qredits maandlasten'!$C$4,"",F129+1))</f>
        <v/>
      </c>
      <c r="F130" s="125" t="str">
        <f>IF($B129="","",IF($B129+1&gt;'Qredits maandlasten'!$C$4,"",EOMONTH(E130,0)))</f>
        <v/>
      </c>
      <c r="G130" s="126" t="str">
        <f>IF($B129="","",IF($B129+1&gt;'Qredits maandlasten'!$C$4,"",(_xlfn.DAYS(F130,E130)+1)/DAY(F130)))</f>
        <v/>
      </c>
      <c r="H130" s="127"/>
      <c r="I130" s="128" t="str">
        <f>IF($B129="","",IF($B129+1&gt;'Qredits maandlasten'!$C$4,"",I129-J129))</f>
        <v/>
      </c>
      <c r="J130" s="128" t="str">
        <f>IF($B129="","",IF($B129+1&gt;'Qredits maandlasten'!$C$4,"",IF(B129&lt;'Qredits maandlasten'!$C$11-1,0,IF('Qredits maandlasten'!$C$10=dropdowns!$A$121,'Qredits maandlasten'!$J$3,IF('Qredits maandlasten'!$C$10=dropdowns!$A$120,IFERROR('Qredits maandlasten'!$J$3-K130,0),0)))))</f>
        <v/>
      </c>
      <c r="K130" s="128" t="str">
        <f>IF($B129="","",IF($B129+1&gt;'Qredits maandlasten'!$C$4,"",G130*I130*'Qredits maandlasten'!$C$8))</f>
        <v/>
      </c>
      <c r="L130" s="128" t="str">
        <f t="shared" si="7"/>
        <v/>
      </c>
      <c r="M130" s="128" t="str">
        <f t="shared" si="5"/>
        <v/>
      </c>
      <c r="N130" s="127"/>
      <c r="O130" s="129" t="str">
        <f>IF($B130="","",'Qredits maandlasten'!$C$8)</f>
        <v/>
      </c>
      <c r="P130" s="129" t="str">
        <f>IF($B130="","",'Qredits maandlasten'!$C$8*(POWER(1+'Qredits maandlasten'!$C$8,$B130-1+1)))</f>
        <v/>
      </c>
      <c r="Q130" s="129" t="str">
        <f t="shared" si="8"/>
        <v/>
      </c>
      <c r="R130" s="127"/>
      <c r="S130" s="128" t="str">
        <f t="shared" si="6"/>
        <v/>
      </c>
      <c r="T130" s="128" t="str">
        <f>IF(S130="","",J130/(POWER(1+'Qredits maandlasten'!$C$8,$B130-1+1)))</f>
        <v/>
      </c>
      <c r="U130" s="130" t="str">
        <f t="shared" si="9"/>
        <v/>
      </c>
      <c r="V130" s="128" t="str">
        <f>IF($B130="","",K130/(POWER(1+'Qredits maandlasten'!$C$8,$B130-1+1)))</f>
        <v/>
      </c>
      <c r="W130" s="127"/>
    </row>
    <row r="131" spans="1:23" s="132" customFormat="1" x14ac:dyDescent="0.2">
      <c r="A131" s="123"/>
      <c r="B131" s="124" t="str">
        <f>IF($B130="","",IF($B130+1&gt;'Qredits maandlasten'!$C$4,"",Schema!B130+1))</f>
        <v/>
      </c>
      <c r="C131" s="125" t="str">
        <f>IF($B130="","",IF($B130+1&gt;'Qredits maandlasten'!$C$4,"",EOMONTH(C130,0)+1))</f>
        <v/>
      </c>
      <c r="D131" s="123"/>
      <c r="E131" s="125" t="str">
        <f>IF($B130="","",IF($B130+1&gt;'Qredits maandlasten'!$C$4,"",F130+1))</f>
        <v/>
      </c>
      <c r="F131" s="125" t="str">
        <f>IF($B130="","",IF($B130+1&gt;'Qredits maandlasten'!$C$4,"",EOMONTH(E131,0)))</f>
        <v/>
      </c>
      <c r="G131" s="126" t="str">
        <f>IF($B130="","",IF($B130+1&gt;'Qredits maandlasten'!$C$4,"",(_xlfn.DAYS(F131,E131)+1)/DAY(F131)))</f>
        <v/>
      </c>
      <c r="H131" s="127"/>
      <c r="I131" s="128" t="str">
        <f>IF($B130="","",IF($B130+1&gt;'Qredits maandlasten'!$C$4,"",I130-J130))</f>
        <v/>
      </c>
      <c r="J131" s="128" t="str">
        <f>IF($B130="","",IF($B130+1&gt;'Qredits maandlasten'!$C$4,"",IF(B130&lt;'Qredits maandlasten'!$C$11-1,0,IF('Qredits maandlasten'!$C$10=dropdowns!$A$121,'Qredits maandlasten'!$J$3,IF('Qredits maandlasten'!$C$10=dropdowns!$A$120,IFERROR('Qredits maandlasten'!$J$3-K131,0),0)))))</f>
        <v/>
      </c>
      <c r="K131" s="128" t="str">
        <f>IF($B130="","",IF($B130+1&gt;'Qredits maandlasten'!$C$4,"",G131*I131*'Qredits maandlasten'!$C$8))</f>
        <v/>
      </c>
      <c r="L131" s="128" t="str">
        <f t="shared" si="7"/>
        <v/>
      </c>
      <c r="M131" s="128" t="str">
        <f t="shared" si="5"/>
        <v/>
      </c>
      <c r="N131" s="127"/>
      <c r="O131" s="129" t="str">
        <f>IF($B131="","",'Qredits maandlasten'!$C$8)</f>
        <v/>
      </c>
      <c r="P131" s="129" t="str">
        <f>IF($B131="","",'Qredits maandlasten'!$C$8*(POWER(1+'Qredits maandlasten'!$C$8,$B131-1+1)))</f>
        <v/>
      </c>
      <c r="Q131" s="129" t="str">
        <f t="shared" si="8"/>
        <v/>
      </c>
      <c r="R131" s="127"/>
      <c r="S131" s="128" t="str">
        <f t="shared" si="6"/>
        <v/>
      </c>
      <c r="T131" s="128" t="str">
        <f>IF(S131="","",J131/(POWER(1+'Qredits maandlasten'!$C$8,$B131-1+1)))</f>
        <v/>
      </c>
      <c r="U131" s="130" t="str">
        <f t="shared" si="9"/>
        <v/>
      </c>
      <c r="V131" s="128" t="str">
        <f>IF($B131="","",K131/(POWER(1+'Qredits maandlasten'!$C$8,$B131-1+1)))</f>
        <v/>
      </c>
      <c r="W131" s="127"/>
    </row>
    <row r="132" spans="1:23" s="132" customFormat="1" x14ac:dyDescent="0.2">
      <c r="A132" s="123"/>
      <c r="B132" s="124" t="str">
        <f>IF($B131="","",IF($B131+1&gt;'Qredits maandlasten'!$C$4,"",Schema!B131+1))</f>
        <v/>
      </c>
      <c r="C132" s="125" t="str">
        <f>IF($B131="","",IF($B131+1&gt;'Qredits maandlasten'!$C$4,"",EOMONTH(C131,0)+1))</f>
        <v/>
      </c>
      <c r="D132" s="123"/>
      <c r="E132" s="125" t="str">
        <f>IF($B131="","",IF($B131+1&gt;'Qredits maandlasten'!$C$4,"",F131+1))</f>
        <v/>
      </c>
      <c r="F132" s="125" t="str">
        <f>IF($B131="","",IF($B131+1&gt;'Qredits maandlasten'!$C$4,"",EOMONTH(E132,0)))</f>
        <v/>
      </c>
      <c r="G132" s="126" t="str">
        <f>IF($B131="","",IF($B131+1&gt;'Qredits maandlasten'!$C$4,"",(_xlfn.DAYS(F132,E132)+1)/DAY(F132)))</f>
        <v/>
      </c>
      <c r="H132" s="127"/>
      <c r="I132" s="128" t="str">
        <f>IF($B131="","",IF($B131+1&gt;'Qredits maandlasten'!$C$4,"",I131-J131))</f>
        <v/>
      </c>
      <c r="J132" s="128" t="str">
        <f>IF($B131="","",IF($B131+1&gt;'Qredits maandlasten'!$C$4,"",IF(B131&lt;'Qredits maandlasten'!$C$11-1,0,IF('Qredits maandlasten'!$C$10=dropdowns!$A$121,'Qredits maandlasten'!$J$3,IF('Qredits maandlasten'!$C$10=dropdowns!$A$120,IFERROR('Qredits maandlasten'!$J$3-K132,0),0)))))</f>
        <v/>
      </c>
      <c r="K132" s="128" t="str">
        <f>IF($B131="","",IF($B131+1&gt;'Qredits maandlasten'!$C$4,"",G132*I132*'Qredits maandlasten'!$C$8))</f>
        <v/>
      </c>
      <c r="L132" s="128" t="str">
        <f t="shared" si="7"/>
        <v/>
      </c>
      <c r="M132" s="128" t="str">
        <f t="shared" si="5"/>
        <v/>
      </c>
      <c r="N132" s="127"/>
      <c r="O132" s="129" t="str">
        <f>IF($B132="","",'Qredits maandlasten'!$C$8)</f>
        <v/>
      </c>
      <c r="P132" s="129" t="str">
        <f>IF($B132="","",'Qredits maandlasten'!$C$8*(POWER(1+'Qredits maandlasten'!$C$8,$B132-1+1)))</f>
        <v/>
      </c>
      <c r="Q132" s="129" t="str">
        <f t="shared" si="8"/>
        <v/>
      </c>
      <c r="R132" s="127"/>
      <c r="S132" s="128" t="str">
        <f t="shared" si="6"/>
        <v/>
      </c>
      <c r="T132" s="128" t="str">
        <f>IF(S132="","",J132/(POWER(1+'Qredits maandlasten'!$C$8,$B132-1+1)))</f>
        <v/>
      </c>
      <c r="U132" s="130" t="str">
        <f t="shared" si="9"/>
        <v/>
      </c>
      <c r="V132" s="128" t="str">
        <f>IF($B132="","",K132/(POWER(1+'Qredits maandlasten'!$C$8,$B132-1+1)))</f>
        <v/>
      </c>
      <c r="W132" s="127"/>
    </row>
    <row r="133" spans="1:23" s="132" customFormat="1" x14ac:dyDescent="0.2">
      <c r="A133" s="123"/>
      <c r="B133" s="124" t="str">
        <f>IF($B132="","",IF($B132+1&gt;'Qredits maandlasten'!$C$4,"",Schema!B132+1))</f>
        <v/>
      </c>
      <c r="C133" s="125" t="str">
        <f>IF($B132="","",IF($B132+1&gt;'Qredits maandlasten'!$C$4,"",EOMONTH(C132,0)+1))</f>
        <v/>
      </c>
      <c r="D133" s="123"/>
      <c r="E133" s="125" t="str">
        <f>IF($B132="","",IF($B132+1&gt;'Qredits maandlasten'!$C$4,"",F132+1))</f>
        <v/>
      </c>
      <c r="F133" s="125" t="str">
        <f>IF($B132="","",IF($B132+1&gt;'Qredits maandlasten'!$C$4,"",EOMONTH(E133,0)))</f>
        <v/>
      </c>
      <c r="G133" s="126" t="str">
        <f>IF($B132="","",IF($B132+1&gt;'Qredits maandlasten'!$C$4,"",(_xlfn.DAYS(F133,E133)+1)/DAY(F133)))</f>
        <v/>
      </c>
      <c r="H133" s="127"/>
      <c r="I133" s="128" t="str">
        <f>IF($B132="","",IF($B132+1&gt;'Qredits maandlasten'!$C$4,"",I132-J132))</f>
        <v/>
      </c>
      <c r="J133" s="128" t="str">
        <f>IF($B132="","",IF($B132+1&gt;'Qredits maandlasten'!$C$4,"",IF(B132&lt;'Qredits maandlasten'!$C$11-1,0,IF('Qredits maandlasten'!$C$10=dropdowns!$A$121,'Qredits maandlasten'!$J$3,IF('Qredits maandlasten'!$C$10=dropdowns!$A$120,IFERROR('Qredits maandlasten'!$J$3-K133,0),0)))))</f>
        <v/>
      </c>
      <c r="K133" s="128" t="str">
        <f>IF($B132="","",IF($B132+1&gt;'Qredits maandlasten'!$C$4,"",G133*I133*'Qredits maandlasten'!$C$8))</f>
        <v/>
      </c>
      <c r="L133" s="128" t="str">
        <f t="shared" si="7"/>
        <v/>
      </c>
      <c r="M133" s="128" t="str">
        <f t="shared" si="5"/>
        <v/>
      </c>
      <c r="N133" s="127"/>
      <c r="O133" s="129" t="str">
        <f>IF($B133="","",'Qredits maandlasten'!$C$8)</f>
        <v/>
      </c>
      <c r="P133" s="129" t="str">
        <f>IF($B133="","",'Qredits maandlasten'!$C$8*(POWER(1+'Qredits maandlasten'!$C$8,$B133-1+1)))</f>
        <v/>
      </c>
      <c r="Q133" s="129" t="str">
        <f t="shared" si="8"/>
        <v/>
      </c>
      <c r="R133" s="127"/>
      <c r="S133" s="128" t="str">
        <f t="shared" si="6"/>
        <v/>
      </c>
      <c r="T133" s="128" t="str">
        <f>IF(S133="","",J133/(POWER(1+'Qredits maandlasten'!$C$8,$B133-1+1)))</f>
        <v/>
      </c>
      <c r="U133" s="130" t="str">
        <f t="shared" si="9"/>
        <v/>
      </c>
      <c r="V133" s="128" t="str">
        <f>IF($B133="","",K133/(POWER(1+'Qredits maandlasten'!$C$8,$B133-1+1)))</f>
        <v/>
      </c>
      <c r="W133" s="127"/>
    </row>
    <row r="134" spans="1:23" s="132" customFormat="1" x14ac:dyDescent="0.2">
      <c r="A134" s="123"/>
      <c r="B134" s="124" t="str">
        <f>IF($B133="","",IF($B133+1&gt;'Qredits maandlasten'!$C$4,"",Schema!B133+1))</f>
        <v/>
      </c>
      <c r="C134" s="125" t="str">
        <f>IF($B133="","",IF($B133+1&gt;'Qredits maandlasten'!$C$4,"",EOMONTH(C133,0)+1))</f>
        <v/>
      </c>
      <c r="D134" s="123"/>
      <c r="E134" s="125" t="str">
        <f>IF($B133="","",IF($B133+1&gt;'Qredits maandlasten'!$C$4,"",F133+1))</f>
        <v/>
      </c>
      <c r="F134" s="125" t="str">
        <f>IF($B133="","",IF($B133+1&gt;'Qredits maandlasten'!$C$4,"",EOMONTH(E134,0)))</f>
        <v/>
      </c>
      <c r="G134" s="126" t="str">
        <f>IF($B133="","",IF($B133+1&gt;'Qredits maandlasten'!$C$4,"",(_xlfn.DAYS(F134,E134)+1)/DAY(F134)))</f>
        <v/>
      </c>
      <c r="H134" s="127"/>
      <c r="I134" s="128" t="str">
        <f>IF($B133="","",IF($B133+1&gt;'Qredits maandlasten'!$C$4,"",I133-J133))</f>
        <v/>
      </c>
      <c r="J134" s="128" t="str">
        <f>IF($B133="","",IF($B133+1&gt;'Qredits maandlasten'!$C$4,"",IF(B133&lt;'Qredits maandlasten'!$C$11-1,0,IF('Qredits maandlasten'!$C$10=dropdowns!$A$121,'Qredits maandlasten'!$J$3,IF('Qredits maandlasten'!$C$10=dropdowns!$A$120,IFERROR('Qredits maandlasten'!$J$3-K134,0),0)))))</f>
        <v/>
      </c>
      <c r="K134" s="128" t="str">
        <f>IF($B133="","",IF($B133+1&gt;'Qredits maandlasten'!$C$4,"",G134*I134*'Qredits maandlasten'!$C$8))</f>
        <v/>
      </c>
      <c r="L134" s="128" t="str">
        <f t="shared" si="7"/>
        <v/>
      </c>
      <c r="M134" s="128" t="str">
        <f t="shared" si="5"/>
        <v/>
      </c>
      <c r="N134" s="127"/>
      <c r="O134" s="129" t="str">
        <f>IF($B134="","",'Qredits maandlasten'!$C$8)</f>
        <v/>
      </c>
      <c r="P134" s="129" t="str">
        <f>IF($B134="","",'Qredits maandlasten'!$C$8*(POWER(1+'Qredits maandlasten'!$C$8,$B134-1+1)))</f>
        <v/>
      </c>
      <c r="Q134" s="129" t="str">
        <f t="shared" si="8"/>
        <v/>
      </c>
      <c r="R134" s="127"/>
      <c r="S134" s="128" t="str">
        <f t="shared" si="6"/>
        <v/>
      </c>
      <c r="T134" s="128" t="str">
        <f>IF(S134="","",J134/(POWER(1+'Qredits maandlasten'!$C$8,$B134-1+1)))</f>
        <v/>
      </c>
      <c r="U134" s="130" t="str">
        <f t="shared" si="9"/>
        <v/>
      </c>
      <c r="V134" s="128" t="str">
        <f>IF($B134="","",K134/(POWER(1+'Qredits maandlasten'!$C$8,$B134-1+1)))</f>
        <v/>
      </c>
      <c r="W134" s="127"/>
    </row>
    <row r="135" spans="1:23" s="132" customFormat="1" x14ac:dyDescent="0.2">
      <c r="A135" s="123"/>
      <c r="B135" s="124" t="str">
        <f>IF($B134="","",IF($B134+1&gt;'Qredits maandlasten'!$C$4,"",Schema!B134+1))</f>
        <v/>
      </c>
      <c r="C135" s="125" t="str">
        <f>IF($B134="","",IF($B134+1&gt;'Qredits maandlasten'!$C$4,"",EOMONTH(C134,0)+1))</f>
        <v/>
      </c>
      <c r="D135" s="123"/>
      <c r="E135" s="125" t="str">
        <f>IF($B134="","",IF($B134+1&gt;'Qredits maandlasten'!$C$4,"",F134+1))</f>
        <v/>
      </c>
      <c r="F135" s="125" t="str">
        <f>IF($B134="","",IF($B134+1&gt;'Qredits maandlasten'!$C$4,"",EOMONTH(E135,0)))</f>
        <v/>
      </c>
      <c r="G135" s="126" t="str">
        <f>IF($B134="","",IF($B134+1&gt;'Qredits maandlasten'!$C$4,"",(_xlfn.DAYS(F135,E135)+1)/DAY(F135)))</f>
        <v/>
      </c>
      <c r="H135" s="127"/>
      <c r="I135" s="128" t="str">
        <f>IF($B134="","",IF($B134+1&gt;'Qredits maandlasten'!$C$4,"",I134-J134))</f>
        <v/>
      </c>
      <c r="J135" s="128" t="str">
        <f>IF($B134="","",IF($B134+1&gt;'Qredits maandlasten'!$C$4,"",IF(B134&lt;'Qredits maandlasten'!$C$11-1,0,IF('Qredits maandlasten'!$C$10=dropdowns!$A$121,'Qredits maandlasten'!$J$3,IF('Qredits maandlasten'!$C$10=dropdowns!$A$120,IFERROR('Qredits maandlasten'!$J$3-K135,0),0)))))</f>
        <v/>
      </c>
      <c r="K135" s="128" t="str">
        <f>IF($B134="","",IF($B134+1&gt;'Qredits maandlasten'!$C$4,"",G135*I135*'Qredits maandlasten'!$C$8))</f>
        <v/>
      </c>
      <c r="L135" s="128" t="str">
        <f t="shared" si="7"/>
        <v/>
      </c>
      <c r="M135" s="128" t="str">
        <f t="shared" si="5"/>
        <v/>
      </c>
      <c r="N135" s="127"/>
      <c r="O135" s="129" t="str">
        <f>IF($B135="","",'Qredits maandlasten'!$C$8)</f>
        <v/>
      </c>
      <c r="P135" s="129" t="str">
        <f>IF($B135="","",'Qredits maandlasten'!$C$8*(POWER(1+'Qredits maandlasten'!$C$8,$B135-1+1)))</f>
        <v/>
      </c>
      <c r="Q135" s="129" t="str">
        <f t="shared" si="8"/>
        <v/>
      </c>
      <c r="R135" s="127"/>
      <c r="S135" s="128" t="str">
        <f t="shared" si="6"/>
        <v/>
      </c>
      <c r="T135" s="128" t="str">
        <f>IF(S135="","",J135/(POWER(1+'Qredits maandlasten'!$C$8,$B135-1+1)))</f>
        <v/>
      </c>
      <c r="U135" s="130" t="str">
        <f t="shared" si="9"/>
        <v/>
      </c>
      <c r="V135" s="128" t="str">
        <f>IF($B135="","",K135/(POWER(1+'Qredits maandlasten'!$C$8,$B135-1+1)))</f>
        <v/>
      </c>
      <c r="W135" s="127"/>
    </row>
    <row r="136" spans="1:23" s="132" customFormat="1" x14ac:dyDescent="0.2">
      <c r="A136" s="123"/>
      <c r="B136" s="124" t="str">
        <f>IF($B135="","",IF($B135+1&gt;'Qredits maandlasten'!$C$4,"",Schema!B135+1))</f>
        <v/>
      </c>
      <c r="C136" s="125" t="str">
        <f>IF($B135="","",IF($B135+1&gt;'Qredits maandlasten'!$C$4,"",EOMONTH(C135,0)+1))</f>
        <v/>
      </c>
      <c r="D136" s="123"/>
      <c r="E136" s="125" t="str">
        <f>IF($B135="","",IF($B135+1&gt;'Qredits maandlasten'!$C$4,"",F135+1))</f>
        <v/>
      </c>
      <c r="F136" s="125" t="str">
        <f>IF($B135="","",IF($B135+1&gt;'Qredits maandlasten'!$C$4,"",EOMONTH(E136,0)))</f>
        <v/>
      </c>
      <c r="G136" s="126" t="str">
        <f>IF($B135="","",IF($B135+1&gt;'Qredits maandlasten'!$C$4,"",(_xlfn.DAYS(F136,E136)+1)/DAY(F136)))</f>
        <v/>
      </c>
      <c r="H136" s="127"/>
      <c r="I136" s="128" t="str">
        <f>IF($B135="","",IF($B135+1&gt;'Qredits maandlasten'!$C$4,"",I135-J135))</f>
        <v/>
      </c>
      <c r="J136" s="128" t="str">
        <f>IF($B135="","",IF($B135+1&gt;'Qredits maandlasten'!$C$4,"",IF(B135&lt;'Qredits maandlasten'!$C$11-1,0,IF('Qredits maandlasten'!$C$10=dropdowns!$A$121,'Qredits maandlasten'!$J$3,IF('Qredits maandlasten'!$C$10=dropdowns!$A$120,IFERROR('Qredits maandlasten'!$J$3-K136,0),0)))))</f>
        <v/>
      </c>
      <c r="K136" s="128" t="str">
        <f>IF($B135="","",IF($B135+1&gt;'Qredits maandlasten'!$C$4,"",G136*I136*'Qredits maandlasten'!$C$8))</f>
        <v/>
      </c>
      <c r="L136" s="128" t="str">
        <f t="shared" si="7"/>
        <v/>
      </c>
      <c r="M136" s="128" t="str">
        <f t="shared" si="5"/>
        <v/>
      </c>
      <c r="N136" s="127"/>
      <c r="O136" s="129" t="str">
        <f>IF($B136="","",'Qredits maandlasten'!$C$8)</f>
        <v/>
      </c>
      <c r="P136" s="129" t="str">
        <f>IF($B136="","",'Qredits maandlasten'!$C$8*(POWER(1+'Qredits maandlasten'!$C$8,$B136-1+1)))</f>
        <v/>
      </c>
      <c r="Q136" s="129" t="str">
        <f t="shared" si="8"/>
        <v/>
      </c>
      <c r="R136" s="127"/>
      <c r="S136" s="128" t="str">
        <f t="shared" si="6"/>
        <v/>
      </c>
      <c r="T136" s="128" t="str">
        <f>IF(S136="","",J136/(POWER(1+'Qredits maandlasten'!$C$8,$B136-1+1)))</f>
        <v/>
      </c>
      <c r="U136" s="130" t="str">
        <f t="shared" si="9"/>
        <v/>
      </c>
      <c r="V136" s="128" t="str">
        <f>IF($B136="","",K136/(POWER(1+'Qredits maandlasten'!$C$8,$B136-1+1)))</f>
        <v/>
      </c>
      <c r="W136" s="127"/>
    </row>
    <row r="137" spans="1:23" s="132" customFormat="1" x14ac:dyDescent="0.2">
      <c r="A137" s="123"/>
      <c r="B137" s="124" t="str">
        <f>IF($B136="","",IF($B136+1&gt;'Qredits maandlasten'!$C$4,"",Schema!B136+1))</f>
        <v/>
      </c>
      <c r="C137" s="125" t="str">
        <f>IF($B136="","",IF($B136+1&gt;'Qredits maandlasten'!$C$4,"",EOMONTH(C136,0)+1))</f>
        <v/>
      </c>
      <c r="D137" s="123"/>
      <c r="E137" s="125" t="str">
        <f>IF($B136="","",IF($B136+1&gt;'Qredits maandlasten'!$C$4,"",F136+1))</f>
        <v/>
      </c>
      <c r="F137" s="125" t="str">
        <f>IF($B136="","",IF($B136+1&gt;'Qredits maandlasten'!$C$4,"",EOMONTH(E137,0)))</f>
        <v/>
      </c>
      <c r="G137" s="126" t="str">
        <f>IF($B136="","",IF($B136+1&gt;'Qredits maandlasten'!$C$4,"",(_xlfn.DAYS(F137,E137)+1)/DAY(F137)))</f>
        <v/>
      </c>
      <c r="H137" s="127"/>
      <c r="I137" s="128" t="str">
        <f>IF($B136="","",IF($B136+1&gt;'Qredits maandlasten'!$C$4,"",I136-J136))</f>
        <v/>
      </c>
      <c r="J137" s="128" t="str">
        <f>IF($B136="","",IF($B136+1&gt;'Qredits maandlasten'!$C$4,"",IF(B136&lt;'Qredits maandlasten'!$C$11-1,0,IF('Qredits maandlasten'!$C$10=dropdowns!$A$121,'Qredits maandlasten'!$J$3,IF('Qredits maandlasten'!$C$10=dropdowns!$A$120,IFERROR('Qredits maandlasten'!$J$3-K137,0),0)))))</f>
        <v/>
      </c>
      <c r="K137" s="128" t="str">
        <f>IF($B136="","",IF($B136+1&gt;'Qredits maandlasten'!$C$4,"",G137*I137*'Qredits maandlasten'!$C$8))</f>
        <v/>
      </c>
      <c r="L137" s="128" t="str">
        <f t="shared" si="7"/>
        <v/>
      </c>
      <c r="M137" s="128" t="str">
        <f t="shared" si="5"/>
        <v/>
      </c>
      <c r="N137" s="127"/>
      <c r="O137" s="129" t="str">
        <f>IF($B137="","",'Qredits maandlasten'!$C$8)</f>
        <v/>
      </c>
      <c r="P137" s="129" t="str">
        <f>IF($B137="","",'Qredits maandlasten'!$C$8*(POWER(1+'Qredits maandlasten'!$C$8,$B137-1+1)))</f>
        <v/>
      </c>
      <c r="Q137" s="129" t="str">
        <f t="shared" si="8"/>
        <v/>
      </c>
      <c r="R137" s="127"/>
      <c r="S137" s="128" t="str">
        <f t="shared" si="6"/>
        <v/>
      </c>
      <c r="T137" s="128" t="str">
        <f>IF(S137="","",J137/(POWER(1+'Qredits maandlasten'!$C$8,$B137-1+1)))</f>
        <v/>
      </c>
      <c r="U137" s="130" t="str">
        <f t="shared" si="9"/>
        <v/>
      </c>
      <c r="V137" s="128" t="str">
        <f>IF($B137="","",K137/(POWER(1+'Qredits maandlasten'!$C$8,$B137-1+1)))</f>
        <v/>
      </c>
      <c r="W137" s="127"/>
    </row>
    <row r="138" spans="1:23" s="132" customFormat="1" x14ac:dyDescent="0.2">
      <c r="A138" s="123"/>
      <c r="B138" s="124" t="str">
        <f>IF($B137="","",IF($B137+1&gt;'Qredits maandlasten'!$C$4,"",Schema!B137+1))</f>
        <v/>
      </c>
      <c r="C138" s="125" t="str">
        <f>IF($B137="","",IF($B137+1&gt;'Qredits maandlasten'!$C$4,"",EOMONTH(C137,0)+1))</f>
        <v/>
      </c>
      <c r="D138" s="123"/>
      <c r="E138" s="125" t="str">
        <f>IF($B137="","",IF($B137+1&gt;'Qredits maandlasten'!$C$4,"",F137+1))</f>
        <v/>
      </c>
      <c r="F138" s="125" t="str">
        <f>IF($B137="","",IF($B137+1&gt;'Qredits maandlasten'!$C$4,"",EOMONTH(E138,0)))</f>
        <v/>
      </c>
      <c r="G138" s="126" t="str">
        <f>IF($B137="","",IF($B137+1&gt;'Qredits maandlasten'!$C$4,"",(_xlfn.DAYS(F138,E138)+1)/DAY(F138)))</f>
        <v/>
      </c>
      <c r="H138" s="127"/>
      <c r="I138" s="128" t="str">
        <f>IF($B137="","",IF($B137+1&gt;'Qredits maandlasten'!$C$4,"",I137-J137))</f>
        <v/>
      </c>
      <c r="J138" s="128" t="str">
        <f>IF($B137="","",IF($B137+1&gt;'Qredits maandlasten'!$C$4,"",IF(B137&lt;'Qredits maandlasten'!$C$11-1,0,IF('Qredits maandlasten'!$C$10=dropdowns!$A$121,'Qredits maandlasten'!$J$3,IF('Qredits maandlasten'!$C$10=dropdowns!$A$120,IFERROR('Qredits maandlasten'!$J$3-K138,0),0)))))</f>
        <v/>
      </c>
      <c r="K138" s="128" t="str">
        <f>IF($B137="","",IF($B137+1&gt;'Qredits maandlasten'!$C$4,"",G138*I138*'Qredits maandlasten'!$C$8))</f>
        <v/>
      </c>
      <c r="L138" s="128" t="str">
        <f t="shared" si="7"/>
        <v/>
      </c>
      <c r="M138" s="128" t="str">
        <f t="shared" ref="M138:M201" si="10">IF(S138="","",-K138-J138)</f>
        <v/>
      </c>
      <c r="N138" s="127"/>
      <c r="O138" s="129" t="str">
        <f>IF($B138="","",'Qredits maandlasten'!$C$8)</f>
        <v/>
      </c>
      <c r="P138" s="129" t="str">
        <f>IF($B138="","",'Qredits maandlasten'!$C$8*(POWER(1+'Qredits maandlasten'!$C$8,$B138-1+1)))</f>
        <v/>
      </c>
      <c r="Q138" s="129" t="str">
        <f t="shared" si="8"/>
        <v/>
      </c>
      <c r="R138" s="127"/>
      <c r="S138" s="128" t="str">
        <f t="shared" ref="S138:S201" si="11">IF(B138="","",IF(S137-T137&lt;0,"",S137-T137))</f>
        <v/>
      </c>
      <c r="T138" s="128" t="str">
        <f>IF(S138="","",J138/(POWER(1+'Qredits maandlasten'!$C$8,$B138-1+1)))</f>
        <v/>
      </c>
      <c r="U138" s="130" t="str">
        <f t="shared" si="9"/>
        <v/>
      </c>
      <c r="V138" s="128" t="str">
        <f>IF($B138="","",K138/(POWER(1+'Qredits maandlasten'!$C$8,$B138-1+1)))</f>
        <v/>
      </c>
      <c r="W138" s="127"/>
    </row>
    <row r="139" spans="1:23" s="132" customFormat="1" x14ac:dyDescent="0.2">
      <c r="A139" s="123"/>
      <c r="B139" s="124" t="str">
        <f>IF($B138="","",IF($B138+1&gt;'Qredits maandlasten'!$C$4,"",Schema!B138+1))</f>
        <v/>
      </c>
      <c r="C139" s="125" t="str">
        <f>IF($B138="","",IF($B138+1&gt;'Qredits maandlasten'!$C$4,"",EOMONTH(C138,0)+1))</f>
        <v/>
      </c>
      <c r="D139" s="123"/>
      <c r="E139" s="125" t="str">
        <f>IF($B138="","",IF($B138+1&gt;'Qredits maandlasten'!$C$4,"",F138+1))</f>
        <v/>
      </c>
      <c r="F139" s="125" t="str">
        <f>IF($B138="","",IF($B138+1&gt;'Qredits maandlasten'!$C$4,"",EOMONTH(E139,0)))</f>
        <v/>
      </c>
      <c r="G139" s="126" t="str">
        <f>IF($B138="","",IF($B138+1&gt;'Qredits maandlasten'!$C$4,"",(_xlfn.DAYS(F139,E139)+1)/DAY(F139)))</f>
        <v/>
      </c>
      <c r="H139" s="127"/>
      <c r="I139" s="128" t="str">
        <f>IF($B138="","",IF($B138+1&gt;'Qredits maandlasten'!$C$4,"",I138-J138))</f>
        <v/>
      </c>
      <c r="J139" s="128" t="str">
        <f>IF($B138="","",IF($B138+1&gt;'Qredits maandlasten'!$C$4,"",IF(B138&lt;'Qredits maandlasten'!$C$11-1,0,IF('Qredits maandlasten'!$C$10=dropdowns!$A$121,'Qredits maandlasten'!$J$3,IF('Qredits maandlasten'!$C$10=dropdowns!$A$120,IFERROR('Qredits maandlasten'!$J$3-K139,0),0)))))</f>
        <v/>
      </c>
      <c r="K139" s="128" t="str">
        <f>IF($B138="","",IF($B138+1&gt;'Qredits maandlasten'!$C$4,"",G139*I139*'Qredits maandlasten'!$C$8))</f>
        <v/>
      </c>
      <c r="L139" s="128" t="str">
        <f t="shared" ref="L139:L202" si="12">IF(S139="","",-K139-J139)</f>
        <v/>
      </c>
      <c r="M139" s="128" t="str">
        <f t="shared" si="10"/>
        <v/>
      </c>
      <c r="N139" s="127"/>
      <c r="O139" s="129" t="str">
        <f>IF($B139="","",'Qredits maandlasten'!$C$8)</f>
        <v/>
      </c>
      <c r="P139" s="129" t="str">
        <f>IF($B139="","",'Qredits maandlasten'!$C$8*(POWER(1+'Qredits maandlasten'!$C$8,$B139-1+1)))</f>
        <v/>
      </c>
      <c r="Q139" s="129" t="str">
        <f t="shared" ref="Q139:Q202" si="13">IF($B139="","",IFERROR(J139/T139-1,0))</f>
        <v/>
      </c>
      <c r="R139" s="127"/>
      <c r="S139" s="128" t="str">
        <f t="shared" si="11"/>
        <v/>
      </c>
      <c r="T139" s="128" t="str">
        <f>IF(S139="","",J139/(POWER(1+'Qredits maandlasten'!$C$8,$B139-1+1)))</f>
        <v/>
      </c>
      <c r="U139" s="130" t="str">
        <f t="shared" ref="U139:U202" si="14">IF(S139="","",T139+V139)</f>
        <v/>
      </c>
      <c r="V139" s="128" t="str">
        <f>IF($B139="","",K139/(POWER(1+'Qredits maandlasten'!$C$8,$B139-1+1)))</f>
        <v/>
      </c>
      <c r="W139" s="127"/>
    </row>
    <row r="140" spans="1:23" s="132" customFormat="1" x14ac:dyDescent="0.2">
      <c r="A140" s="123"/>
      <c r="B140" s="124" t="str">
        <f>IF($B139="","",IF($B139+1&gt;'Qredits maandlasten'!$C$4,"",Schema!B139+1))</f>
        <v/>
      </c>
      <c r="C140" s="125" t="str">
        <f>IF($B139="","",IF($B139+1&gt;'Qredits maandlasten'!$C$4,"",EOMONTH(C139,0)+1))</f>
        <v/>
      </c>
      <c r="D140" s="123"/>
      <c r="E140" s="125" t="str">
        <f>IF($B139="","",IF($B139+1&gt;'Qredits maandlasten'!$C$4,"",F139+1))</f>
        <v/>
      </c>
      <c r="F140" s="125" t="str">
        <f>IF($B139="","",IF($B139+1&gt;'Qredits maandlasten'!$C$4,"",EOMONTH(E140,0)))</f>
        <v/>
      </c>
      <c r="G140" s="126" t="str">
        <f>IF($B139="","",IF($B139+1&gt;'Qredits maandlasten'!$C$4,"",(_xlfn.DAYS(F140,E140)+1)/DAY(F140)))</f>
        <v/>
      </c>
      <c r="H140" s="127"/>
      <c r="I140" s="128" t="str">
        <f>IF($B139="","",IF($B139+1&gt;'Qredits maandlasten'!$C$4,"",I139-J139))</f>
        <v/>
      </c>
      <c r="J140" s="128" t="str">
        <f>IF($B139="","",IF($B139+1&gt;'Qredits maandlasten'!$C$4,"",IF(B139&lt;'Qredits maandlasten'!$C$11-1,0,IF('Qredits maandlasten'!$C$10=dropdowns!$A$121,'Qredits maandlasten'!$J$3,IF('Qredits maandlasten'!$C$10=dropdowns!$A$120,IFERROR('Qredits maandlasten'!$J$3-K140,0),0)))))</f>
        <v/>
      </c>
      <c r="K140" s="128" t="str">
        <f>IF($B139="","",IF($B139+1&gt;'Qredits maandlasten'!$C$4,"",G140*I140*'Qredits maandlasten'!$C$8))</f>
        <v/>
      </c>
      <c r="L140" s="128" t="str">
        <f t="shared" si="12"/>
        <v/>
      </c>
      <c r="M140" s="128" t="str">
        <f t="shared" si="10"/>
        <v/>
      </c>
      <c r="N140" s="127"/>
      <c r="O140" s="129" t="str">
        <f>IF($B140="","",'Qredits maandlasten'!$C$8)</f>
        <v/>
      </c>
      <c r="P140" s="129" t="str">
        <f>IF($B140="","",'Qredits maandlasten'!$C$8*(POWER(1+'Qredits maandlasten'!$C$8,$B140-1+1)))</f>
        <v/>
      </c>
      <c r="Q140" s="129" t="str">
        <f t="shared" si="13"/>
        <v/>
      </c>
      <c r="R140" s="127"/>
      <c r="S140" s="128" t="str">
        <f t="shared" si="11"/>
        <v/>
      </c>
      <c r="T140" s="128" t="str">
        <f>IF(S140="","",J140/(POWER(1+'Qredits maandlasten'!$C$8,$B140-1+1)))</f>
        <v/>
      </c>
      <c r="U140" s="130" t="str">
        <f t="shared" si="14"/>
        <v/>
      </c>
      <c r="V140" s="128" t="str">
        <f>IF($B140="","",K140/(POWER(1+'Qredits maandlasten'!$C$8,$B140-1+1)))</f>
        <v/>
      </c>
      <c r="W140" s="127"/>
    </row>
    <row r="141" spans="1:23" s="132" customFormat="1" x14ac:dyDescent="0.2">
      <c r="A141" s="123"/>
      <c r="B141" s="124" t="str">
        <f>IF($B140="","",IF($B140+1&gt;'Qredits maandlasten'!$C$4,"",Schema!B140+1))</f>
        <v/>
      </c>
      <c r="C141" s="125" t="str">
        <f>IF($B140="","",IF($B140+1&gt;'Qredits maandlasten'!$C$4,"",EOMONTH(C140,0)+1))</f>
        <v/>
      </c>
      <c r="D141" s="123"/>
      <c r="E141" s="125" t="str">
        <f>IF($B140="","",IF($B140+1&gt;'Qredits maandlasten'!$C$4,"",F140+1))</f>
        <v/>
      </c>
      <c r="F141" s="125" t="str">
        <f>IF($B140="","",IF($B140+1&gt;'Qredits maandlasten'!$C$4,"",EOMONTH(E141,0)))</f>
        <v/>
      </c>
      <c r="G141" s="126" t="str">
        <f>IF($B140="","",IF($B140+1&gt;'Qredits maandlasten'!$C$4,"",(_xlfn.DAYS(F141,E141)+1)/DAY(F141)))</f>
        <v/>
      </c>
      <c r="H141" s="127"/>
      <c r="I141" s="128" t="str">
        <f>IF($B140="","",IF($B140+1&gt;'Qredits maandlasten'!$C$4,"",I140-J140))</f>
        <v/>
      </c>
      <c r="J141" s="128" t="str">
        <f>IF($B140="","",IF($B140+1&gt;'Qredits maandlasten'!$C$4,"",IF(B140&lt;'Qredits maandlasten'!$C$11-1,0,IF('Qredits maandlasten'!$C$10=dropdowns!$A$121,'Qredits maandlasten'!$J$3,IF('Qredits maandlasten'!$C$10=dropdowns!$A$120,IFERROR('Qredits maandlasten'!$J$3-K141,0),0)))))</f>
        <v/>
      </c>
      <c r="K141" s="128" t="str">
        <f>IF($B140="","",IF($B140+1&gt;'Qredits maandlasten'!$C$4,"",G141*I141*'Qredits maandlasten'!$C$8))</f>
        <v/>
      </c>
      <c r="L141" s="128" t="str">
        <f t="shared" si="12"/>
        <v/>
      </c>
      <c r="M141" s="128" t="str">
        <f t="shared" si="10"/>
        <v/>
      </c>
      <c r="N141" s="127"/>
      <c r="O141" s="129" t="str">
        <f>IF($B141="","",'Qredits maandlasten'!$C$8)</f>
        <v/>
      </c>
      <c r="P141" s="129" t="str">
        <f>IF($B141="","",'Qredits maandlasten'!$C$8*(POWER(1+'Qredits maandlasten'!$C$8,$B141-1+1)))</f>
        <v/>
      </c>
      <c r="Q141" s="129" t="str">
        <f t="shared" si="13"/>
        <v/>
      </c>
      <c r="R141" s="127"/>
      <c r="S141" s="128" t="str">
        <f t="shared" si="11"/>
        <v/>
      </c>
      <c r="T141" s="128" t="str">
        <f>IF(S141="","",J141/(POWER(1+'Qredits maandlasten'!$C$8,$B141-1+1)))</f>
        <v/>
      </c>
      <c r="U141" s="130" t="str">
        <f t="shared" si="14"/>
        <v/>
      </c>
      <c r="V141" s="128" t="str">
        <f>IF($B141="","",K141/(POWER(1+'Qredits maandlasten'!$C$8,$B141-1+1)))</f>
        <v/>
      </c>
      <c r="W141" s="127"/>
    </row>
    <row r="142" spans="1:23" s="132" customFormat="1" x14ac:dyDescent="0.2">
      <c r="A142" s="123"/>
      <c r="B142" s="124" t="str">
        <f>IF($B141="","",IF($B141+1&gt;'Qredits maandlasten'!$C$4,"",Schema!B141+1))</f>
        <v/>
      </c>
      <c r="C142" s="125" t="str">
        <f>IF($B141="","",IF($B141+1&gt;'Qredits maandlasten'!$C$4,"",EOMONTH(C141,0)+1))</f>
        <v/>
      </c>
      <c r="D142" s="123"/>
      <c r="E142" s="125" t="str">
        <f>IF($B141="","",IF($B141+1&gt;'Qredits maandlasten'!$C$4,"",F141+1))</f>
        <v/>
      </c>
      <c r="F142" s="125" t="str">
        <f>IF($B141="","",IF($B141+1&gt;'Qredits maandlasten'!$C$4,"",EOMONTH(E142,0)))</f>
        <v/>
      </c>
      <c r="G142" s="126" t="str">
        <f>IF($B141="","",IF($B141+1&gt;'Qredits maandlasten'!$C$4,"",(_xlfn.DAYS(F142,E142)+1)/DAY(F142)))</f>
        <v/>
      </c>
      <c r="H142" s="127"/>
      <c r="I142" s="128" t="str">
        <f>IF($B141="","",IF($B141+1&gt;'Qredits maandlasten'!$C$4,"",I141-J141))</f>
        <v/>
      </c>
      <c r="J142" s="128" t="str">
        <f>IF($B141="","",IF($B141+1&gt;'Qredits maandlasten'!$C$4,"",IF(B141&lt;'Qredits maandlasten'!$C$11-1,0,IF('Qredits maandlasten'!$C$10=dropdowns!$A$121,'Qredits maandlasten'!$J$3,IF('Qredits maandlasten'!$C$10=dropdowns!$A$120,IFERROR('Qredits maandlasten'!$J$3-K142,0),0)))))</f>
        <v/>
      </c>
      <c r="K142" s="128" t="str">
        <f>IF($B141="","",IF($B141+1&gt;'Qredits maandlasten'!$C$4,"",G142*I142*'Qredits maandlasten'!$C$8))</f>
        <v/>
      </c>
      <c r="L142" s="128" t="str">
        <f t="shared" si="12"/>
        <v/>
      </c>
      <c r="M142" s="128" t="str">
        <f t="shared" si="10"/>
        <v/>
      </c>
      <c r="N142" s="127"/>
      <c r="O142" s="129" t="str">
        <f>IF($B142="","",'Qredits maandlasten'!$C$8)</f>
        <v/>
      </c>
      <c r="P142" s="129" t="str">
        <f>IF($B142="","",'Qredits maandlasten'!$C$8*(POWER(1+'Qredits maandlasten'!$C$8,$B142-1+1)))</f>
        <v/>
      </c>
      <c r="Q142" s="129" t="str">
        <f t="shared" si="13"/>
        <v/>
      </c>
      <c r="R142" s="127"/>
      <c r="S142" s="128" t="str">
        <f t="shared" si="11"/>
        <v/>
      </c>
      <c r="T142" s="128" t="str">
        <f>IF(S142="","",J142/(POWER(1+'Qredits maandlasten'!$C$8,$B142-1+1)))</f>
        <v/>
      </c>
      <c r="U142" s="130" t="str">
        <f t="shared" si="14"/>
        <v/>
      </c>
      <c r="V142" s="128" t="str">
        <f>IF($B142="","",K142/(POWER(1+'Qredits maandlasten'!$C$8,$B142-1+1)))</f>
        <v/>
      </c>
      <c r="W142" s="127"/>
    </row>
    <row r="143" spans="1:23" s="132" customFormat="1" x14ac:dyDescent="0.2">
      <c r="A143" s="123"/>
      <c r="B143" s="124" t="str">
        <f>IF($B142="","",IF($B142+1&gt;'Qredits maandlasten'!$C$4,"",Schema!B142+1))</f>
        <v/>
      </c>
      <c r="C143" s="125" t="str">
        <f>IF($B142="","",IF($B142+1&gt;'Qredits maandlasten'!$C$4,"",EOMONTH(C142,0)+1))</f>
        <v/>
      </c>
      <c r="D143" s="123"/>
      <c r="E143" s="125" t="str">
        <f>IF($B142="","",IF($B142+1&gt;'Qredits maandlasten'!$C$4,"",F142+1))</f>
        <v/>
      </c>
      <c r="F143" s="125" t="str">
        <f>IF($B142="","",IF($B142+1&gt;'Qredits maandlasten'!$C$4,"",EOMONTH(E143,0)))</f>
        <v/>
      </c>
      <c r="G143" s="126" t="str">
        <f>IF($B142="","",IF($B142+1&gt;'Qredits maandlasten'!$C$4,"",(_xlfn.DAYS(F143,E143)+1)/DAY(F143)))</f>
        <v/>
      </c>
      <c r="H143" s="127"/>
      <c r="I143" s="128" t="str">
        <f>IF($B142="","",IF($B142+1&gt;'Qredits maandlasten'!$C$4,"",I142-J142))</f>
        <v/>
      </c>
      <c r="J143" s="128" t="str">
        <f>IF($B142="","",IF($B142+1&gt;'Qredits maandlasten'!$C$4,"",IF(B142&lt;'Qredits maandlasten'!$C$11-1,0,IF('Qredits maandlasten'!$C$10=dropdowns!$A$121,'Qredits maandlasten'!$J$3,IF('Qredits maandlasten'!$C$10=dropdowns!$A$120,IFERROR('Qredits maandlasten'!$J$3-K143,0),0)))))</f>
        <v/>
      </c>
      <c r="K143" s="128" t="str">
        <f>IF($B142="","",IF($B142+1&gt;'Qredits maandlasten'!$C$4,"",G143*I143*'Qredits maandlasten'!$C$8))</f>
        <v/>
      </c>
      <c r="L143" s="128" t="str">
        <f t="shared" si="12"/>
        <v/>
      </c>
      <c r="M143" s="128" t="str">
        <f t="shared" si="10"/>
        <v/>
      </c>
      <c r="N143" s="127"/>
      <c r="O143" s="129" t="str">
        <f>IF($B143="","",'Qredits maandlasten'!$C$8)</f>
        <v/>
      </c>
      <c r="P143" s="129" t="str">
        <f>IF($B143="","",'Qredits maandlasten'!$C$8*(POWER(1+'Qredits maandlasten'!$C$8,$B143-1+1)))</f>
        <v/>
      </c>
      <c r="Q143" s="129" t="str">
        <f t="shared" si="13"/>
        <v/>
      </c>
      <c r="R143" s="127"/>
      <c r="S143" s="128" t="str">
        <f t="shared" si="11"/>
        <v/>
      </c>
      <c r="T143" s="128" t="str">
        <f>IF(S143="","",J143/(POWER(1+'Qredits maandlasten'!$C$8,$B143-1+1)))</f>
        <v/>
      </c>
      <c r="U143" s="130" t="str">
        <f t="shared" si="14"/>
        <v/>
      </c>
      <c r="V143" s="128" t="str">
        <f>IF($B143="","",K143/(POWER(1+'Qredits maandlasten'!$C$8,$B143-1+1)))</f>
        <v/>
      </c>
      <c r="W143" s="127"/>
    </row>
    <row r="144" spans="1:23" s="132" customFormat="1" x14ac:dyDescent="0.2">
      <c r="A144" s="123"/>
      <c r="B144" s="124" t="str">
        <f>IF($B143="","",IF($B143+1&gt;'Qredits maandlasten'!$C$4,"",Schema!B143+1))</f>
        <v/>
      </c>
      <c r="C144" s="125" t="str">
        <f>IF($B143="","",IF($B143+1&gt;'Qredits maandlasten'!$C$4,"",EOMONTH(C143,0)+1))</f>
        <v/>
      </c>
      <c r="D144" s="123"/>
      <c r="E144" s="125" t="str">
        <f>IF($B143="","",IF($B143+1&gt;'Qredits maandlasten'!$C$4,"",F143+1))</f>
        <v/>
      </c>
      <c r="F144" s="125" t="str">
        <f>IF($B143="","",IF($B143+1&gt;'Qredits maandlasten'!$C$4,"",EOMONTH(E144,0)))</f>
        <v/>
      </c>
      <c r="G144" s="126" t="str">
        <f>IF($B143="","",IF($B143+1&gt;'Qredits maandlasten'!$C$4,"",(_xlfn.DAYS(F144,E144)+1)/DAY(F144)))</f>
        <v/>
      </c>
      <c r="H144" s="127"/>
      <c r="I144" s="128" t="str">
        <f>IF($B143="","",IF($B143+1&gt;'Qredits maandlasten'!$C$4,"",I143-J143))</f>
        <v/>
      </c>
      <c r="J144" s="128" t="str">
        <f>IF($B143="","",IF($B143+1&gt;'Qredits maandlasten'!$C$4,"",IF(B143&lt;'Qredits maandlasten'!$C$11-1,0,IF('Qredits maandlasten'!$C$10=dropdowns!$A$121,'Qredits maandlasten'!$J$3,IF('Qredits maandlasten'!$C$10=dropdowns!$A$120,IFERROR('Qredits maandlasten'!$J$3-K144,0),0)))))</f>
        <v/>
      </c>
      <c r="K144" s="128" t="str">
        <f>IF($B143="","",IF($B143+1&gt;'Qredits maandlasten'!$C$4,"",G144*I144*'Qredits maandlasten'!$C$8))</f>
        <v/>
      </c>
      <c r="L144" s="128" t="str">
        <f t="shared" si="12"/>
        <v/>
      </c>
      <c r="M144" s="128" t="str">
        <f t="shared" si="10"/>
        <v/>
      </c>
      <c r="N144" s="127"/>
      <c r="O144" s="129" t="str">
        <f>IF($B144="","",'Qredits maandlasten'!$C$8)</f>
        <v/>
      </c>
      <c r="P144" s="129" t="str">
        <f>IF($B144="","",'Qredits maandlasten'!$C$8*(POWER(1+'Qredits maandlasten'!$C$8,$B144-1+1)))</f>
        <v/>
      </c>
      <c r="Q144" s="129" t="str">
        <f t="shared" si="13"/>
        <v/>
      </c>
      <c r="R144" s="127"/>
      <c r="S144" s="128" t="str">
        <f t="shared" si="11"/>
        <v/>
      </c>
      <c r="T144" s="128" t="str">
        <f>IF(S144="","",J144/(POWER(1+'Qredits maandlasten'!$C$8,$B144-1+1)))</f>
        <v/>
      </c>
      <c r="U144" s="130" t="str">
        <f t="shared" si="14"/>
        <v/>
      </c>
      <c r="V144" s="128" t="str">
        <f>IF($B144="","",K144/(POWER(1+'Qredits maandlasten'!$C$8,$B144-1+1)))</f>
        <v/>
      </c>
      <c r="W144" s="127"/>
    </row>
    <row r="145" spans="1:23" s="132" customFormat="1" x14ac:dyDescent="0.2">
      <c r="A145" s="123"/>
      <c r="B145" s="124" t="str">
        <f>IF($B144="","",IF($B144+1&gt;'Qredits maandlasten'!$C$4,"",Schema!B144+1))</f>
        <v/>
      </c>
      <c r="C145" s="125" t="str">
        <f>IF($B144="","",IF($B144+1&gt;'Qredits maandlasten'!$C$4,"",EOMONTH(C144,0)+1))</f>
        <v/>
      </c>
      <c r="D145" s="123"/>
      <c r="E145" s="125" t="str">
        <f>IF($B144="","",IF($B144+1&gt;'Qredits maandlasten'!$C$4,"",F144+1))</f>
        <v/>
      </c>
      <c r="F145" s="125" t="str">
        <f>IF($B144="","",IF($B144+1&gt;'Qredits maandlasten'!$C$4,"",EOMONTH(E145,0)))</f>
        <v/>
      </c>
      <c r="G145" s="126" t="str">
        <f>IF($B144="","",IF($B144+1&gt;'Qredits maandlasten'!$C$4,"",(_xlfn.DAYS(F145,E145)+1)/DAY(F145)))</f>
        <v/>
      </c>
      <c r="H145" s="127"/>
      <c r="I145" s="128" t="str">
        <f>IF($B144="","",IF($B144+1&gt;'Qredits maandlasten'!$C$4,"",I144-J144))</f>
        <v/>
      </c>
      <c r="J145" s="128" t="str">
        <f>IF($B144="","",IF($B144+1&gt;'Qredits maandlasten'!$C$4,"",IF(B144&lt;'Qredits maandlasten'!$C$11-1,0,IF('Qredits maandlasten'!$C$10=dropdowns!$A$121,'Qredits maandlasten'!$J$3,IF('Qredits maandlasten'!$C$10=dropdowns!$A$120,IFERROR('Qredits maandlasten'!$J$3-K145,0),0)))))</f>
        <v/>
      </c>
      <c r="K145" s="128" t="str">
        <f>IF($B144="","",IF($B144+1&gt;'Qredits maandlasten'!$C$4,"",G145*I145*'Qredits maandlasten'!$C$8))</f>
        <v/>
      </c>
      <c r="L145" s="128" t="str">
        <f t="shared" si="12"/>
        <v/>
      </c>
      <c r="M145" s="128" t="str">
        <f t="shared" si="10"/>
        <v/>
      </c>
      <c r="N145" s="127"/>
      <c r="O145" s="129" t="str">
        <f>IF($B145="","",'Qredits maandlasten'!$C$8)</f>
        <v/>
      </c>
      <c r="P145" s="129" t="str">
        <f>IF($B145="","",'Qredits maandlasten'!$C$8*(POWER(1+'Qredits maandlasten'!$C$8,$B145-1+1)))</f>
        <v/>
      </c>
      <c r="Q145" s="129" t="str">
        <f t="shared" si="13"/>
        <v/>
      </c>
      <c r="R145" s="127"/>
      <c r="S145" s="128" t="str">
        <f t="shared" si="11"/>
        <v/>
      </c>
      <c r="T145" s="128" t="str">
        <f>IF(S145="","",J145/(POWER(1+'Qredits maandlasten'!$C$8,$B145-1+1)))</f>
        <v/>
      </c>
      <c r="U145" s="130" t="str">
        <f t="shared" si="14"/>
        <v/>
      </c>
      <c r="V145" s="128" t="str">
        <f>IF($B145="","",K145/(POWER(1+'Qredits maandlasten'!$C$8,$B145-1+1)))</f>
        <v/>
      </c>
      <c r="W145" s="127"/>
    </row>
    <row r="146" spans="1:23" s="132" customFormat="1" x14ac:dyDescent="0.2">
      <c r="A146" s="123"/>
      <c r="B146" s="124" t="str">
        <f>IF($B145="","",IF($B145+1&gt;'Qredits maandlasten'!$C$4,"",Schema!B145+1))</f>
        <v/>
      </c>
      <c r="C146" s="125" t="str">
        <f>IF($B145="","",IF($B145+1&gt;'Qredits maandlasten'!$C$4,"",EOMONTH(C145,0)+1))</f>
        <v/>
      </c>
      <c r="D146" s="123"/>
      <c r="E146" s="125" t="str">
        <f>IF($B145="","",IF($B145+1&gt;'Qredits maandlasten'!$C$4,"",F145+1))</f>
        <v/>
      </c>
      <c r="F146" s="125" t="str">
        <f>IF($B145="","",IF($B145+1&gt;'Qredits maandlasten'!$C$4,"",EOMONTH(E146,0)))</f>
        <v/>
      </c>
      <c r="G146" s="126" t="str">
        <f>IF($B145="","",IF($B145+1&gt;'Qredits maandlasten'!$C$4,"",(_xlfn.DAYS(F146,E146)+1)/DAY(F146)))</f>
        <v/>
      </c>
      <c r="H146" s="127"/>
      <c r="I146" s="128" t="str">
        <f>IF($B145="","",IF($B145+1&gt;'Qredits maandlasten'!$C$4,"",I145-J145))</f>
        <v/>
      </c>
      <c r="J146" s="128" t="str">
        <f>IF($B145="","",IF($B145+1&gt;'Qredits maandlasten'!$C$4,"",IF(B145&lt;'Qredits maandlasten'!$C$11-1,0,IF('Qredits maandlasten'!$C$10=dropdowns!$A$121,'Qredits maandlasten'!$J$3,IF('Qredits maandlasten'!$C$10=dropdowns!$A$120,IFERROR('Qredits maandlasten'!$J$3-K146,0),0)))))</f>
        <v/>
      </c>
      <c r="K146" s="128" t="str">
        <f>IF($B145="","",IF($B145+1&gt;'Qredits maandlasten'!$C$4,"",G146*I146*'Qredits maandlasten'!$C$8))</f>
        <v/>
      </c>
      <c r="L146" s="128" t="str">
        <f t="shared" si="12"/>
        <v/>
      </c>
      <c r="M146" s="128" t="str">
        <f t="shared" si="10"/>
        <v/>
      </c>
      <c r="N146" s="127"/>
      <c r="O146" s="129" t="str">
        <f>IF($B146="","",'Qredits maandlasten'!$C$8)</f>
        <v/>
      </c>
      <c r="P146" s="129" t="str">
        <f>IF($B146="","",'Qredits maandlasten'!$C$8*(POWER(1+'Qredits maandlasten'!$C$8,$B146-1+1)))</f>
        <v/>
      </c>
      <c r="Q146" s="129" t="str">
        <f t="shared" si="13"/>
        <v/>
      </c>
      <c r="R146" s="127"/>
      <c r="S146" s="128" t="str">
        <f t="shared" si="11"/>
        <v/>
      </c>
      <c r="T146" s="128" t="str">
        <f>IF(S146="","",J146/(POWER(1+'Qredits maandlasten'!$C$8,$B146-1+1)))</f>
        <v/>
      </c>
      <c r="U146" s="130" t="str">
        <f t="shared" si="14"/>
        <v/>
      </c>
      <c r="V146" s="128" t="str">
        <f>IF($B146="","",K146/(POWER(1+'Qredits maandlasten'!$C$8,$B146-1+1)))</f>
        <v/>
      </c>
      <c r="W146" s="127"/>
    </row>
    <row r="147" spans="1:23" s="132" customFormat="1" x14ac:dyDescent="0.2">
      <c r="A147" s="123"/>
      <c r="B147" s="124" t="str">
        <f>IF($B146="","",IF($B146+1&gt;'Qredits maandlasten'!$C$4,"",Schema!B146+1))</f>
        <v/>
      </c>
      <c r="C147" s="125" t="str">
        <f>IF($B146="","",IF($B146+1&gt;'Qredits maandlasten'!$C$4,"",EOMONTH(C146,0)+1))</f>
        <v/>
      </c>
      <c r="D147" s="123"/>
      <c r="E147" s="125" t="str">
        <f>IF($B146="","",IF($B146+1&gt;'Qredits maandlasten'!$C$4,"",F146+1))</f>
        <v/>
      </c>
      <c r="F147" s="125" t="str">
        <f>IF($B146="","",IF($B146+1&gt;'Qredits maandlasten'!$C$4,"",EOMONTH(E147,0)))</f>
        <v/>
      </c>
      <c r="G147" s="126" t="str">
        <f>IF($B146="","",IF($B146+1&gt;'Qredits maandlasten'!$C$4,"",(_xlfn.DAYS(F147,E147)+1)/DAY(F147)))</f>
        <v/>
      </c>
      <c r="H147" s="127"/>
      <c r="I147" s="128" t="str">
        <f>IF($B146="","",IF($B146+1&gt;'Qredits maandlasten'!$C$4,"",I146-J146))</f>
        <v/>
      </c>
      <c r="J147" s="128" t="str">
        <f>IF($B146="","",IF($B146+1&gt;'Qredits maandlasten'!$C$4,"",IF(B146&lt;'Qredits maandlasten'!$C$11-1,0,IF('Qredits maandlasten'!$C$10=dropdowns!$A$121,'Qredits maandlasten'!$J$3,IF('Qredits maandlasten'!$C$10=dropdowns!$A$120,IFERROR('Qredits maandlasten'!$J$3-K147,0),0)))))</f>
        <v/>
      </c>
      <c r="K147" s="128" t="str">
        <f>IF($B146="","",IF($B146+1&gt;'Qredits maandlasten'!$C$4,"",G147*I147*'Qredits maandlasten'!$C$8))</f>
        <v/>
      </c>
      <c r="L147" s="128" t="str">
        <f t="shared" si="12"/>
        <v/>
      </c>
      <c r="M147" s="128" t="str">
        <f t="shared" si="10"/>
        <v/>
      </c>
      <c r="N147" s="127"/>
      <c r="O147" s="129" t="str">
        <f>IF($B147="","",'Qredits maandlasten'!$C$8)</f>
        <v/>
      </c>
      <c r="P147" s="129" t="str">
        <f>IF($B147="","",'Qredits maandlasten'!$C$8*(POWER(1+'Qredits maandlasten'!$C$8,$B147-1+1)))</f>
        <v/>
      </c>
      <c r="Q147" s="129" t="str">
        <f t="shared" si="13"/>
        <v/>
      </c>
      <c r="R147" s="127"/>
      <c r="S147" s="128" t="str">
        <f t="shared" si="11"/>
        <v/>
      </c>
      <c r="T147" s="128" t="str">
        <f>IF(S147="","",J147/(POWER(1+'Qredits maandlasten'!$C$8,$B147-1+1)))</f>
        <v/>
      </c>
      <c r="U147" s="130" t="str">
        <f t="shared" si="14"/>
        <v/>
      </c>
      <c r="V147" s="128" t="str">
        <f>IF($B147="","",K147/(POWER(1+'Qredits maandlasten'!$C$8,$B147-1+1)))</f>
        <v/>
      </c>
      <c r="W147" s="127"/>
    </row>
    <row r="148" spans="1:23" s="132" customFormat="1" x14ac:dyDescent="0.2">
      <c r="A148" s="123"/>
      <c r="B148" s="124" t="str">
        <f>IF($B147="","",IF($B147+1&gt;'Qredits maandlasten'!$C$4,"",Schema!B147+1))</f>
        <v/>
      </c>
      <c r="C148" s="125" t="str">
        <f>IF($B147="","",IF($B147+1&gt;'Qredits maandlasten'!$C$4,"",EOMONTH(C147,0)+1))</f>
        <v/>
      </c>
      <c r="D148" s="123"/>
      <c r="E148" s="125" t="str">
        <f>IF($B147="","",IF($B147+1&gt;'Qredits maandlasten'!$C$4,"",F147+1))</f>
        <v/>
      </c>
      <c r="F148" s="125" t="str">
        <f>IF($B147="","",IF($B147+1&gt;'Qredits maandlasten'!$C$4,"",EOMONTH(E148,0)))</f>
        <v/>
      </c>
      <c r="G148" s="126" t="str">
        <f>IF($B147="","",IF($B147+1&gt;'Qredits maandlasten'!$C$4,"",(_xlfn.DAYS(F148,E148)+1)/DAY(F148)))</f>
        <v/>
      </c>
      <c r="H148" s="127"/>
      <c r="I148" s="128" t="str">
        <f>IF($B147="","",IF($B147+1&gt;'Qredits maandlasten'!$C$4,"",I147-J147))</f>
        <v/>
      </c>
      <c r="J148" s="128" t="str">
        <f>IF($B147="","",IF($B147+1&gt;'Qredits maandlasten'!$C$4,"",IF(B147&lt;'Qredits maandlasten'!$C$11-1,0,IF('Qredits maandlasten'!$C$10=dropdowns!$A$121,'Qredits maandlasten'!$J$3,IF('Qredits maandlasten'!$C$10=dropdowns!$A$120,IFERROR('Qredits maandlasten'!$J$3-K148,0),0)))))</f>
        <v/>
      </c>
      <c r="K148" s="128" t="str">
        <f>IF($B147="","",IF($B147+1&gt;'Qredits maandlasten'!$C$4,"",G148*I148*'Qredits maandlasten'!$C$8))</f>
        <v/>
      </c>
      <c r="L148" s="128" t="str">
        <f t="shared" si="12"/>
        <v/>
      </c>
      <c r="M148" s="128" t="str">
        <f t="shared" si="10"/>
        <v/>
      </c>
      <c r="N148" s="127"/>
      <c r="O148" s="129" t="str">
        <f>IF($B148="","",'Qredits maandlasten'!$C$8)</f>
        <v/>
      </c>
      <c r="P148" s="129" t="str">
        <f>IF($B148="","",'Qredits maandlasten'!$C$8*(POWER(1+'Qredits maandlasten'!$C$8,$B148-1+1)))</f>
        <v/>
      </c>
      <c r="Q148" s="129" t="str">
        <f t="shared" si="13"/>
        <v/>
      </c>
      <c r="R148" s="127"/>
      <c r="S148" s="128" t="str">
        <f t="shared" si="11"/>
        <v/>
      </c>
      <c r="T148" s="128" t="str">
        <f>IF(S148="","",J148/(POWER(1+'Qredits maandlasten'!$C$8,$B148-1+1)))</f>
        <v/>
      </c>
      <c r="U148" s="130" t="str">
        <f t="shared" si="14"/>
        <v/>
      </c>
      <c r="V148" s="128" t="str">
        <f>IF($B148="","",K148/(POWER(1+'Qredits maandlasten'!$C$8,$B148-1+1)))</f>
        <v/>
      </c>
      <c r="W148" s="127"/>
    </row>
    <row r="149" spans="1:23" s="132" customFormat="1" x14ac:dyDescent="0.2">
      <c r="A149" s="123"/>
      <c r="B149" s="124" t="str">
        <f>IF($B148="","",IF($B148+1&gt;'Qredits maandlasten'!$C$4,"",Schema!B148+1))</f>
        <v/>
      </c>
      <c r="C149" s="125" t="str">
        <f>IF($B148="","",IF($B148+1&gt;'Qredits maandlasten'!$C$4,"",EOMONTH(C148,0)+1))</f>
        <v/>
      </c>
      <c r="D149" s="123"/>
      <c r="E149" s="125" t="str">
        <f>IF($B148="","",IF($B148+1&gt;'Qredits maandlasten'!$C$4,"",F148+1))</f>
        <v/>
      </c>
      <c r="F149" s="125" t="str">
        <f>IF($B148="","",IF($B148+1&gt;'Qredits maandlasten'!$C$4,"",EOMONTH(E149,0)))</f>
        <v/>
      </c>
      <c r="G149" s="126" t="str">
        <f>IF($B148="","",IF($B148+1&gt;'Qredits maandlasten'!$C$4,"",(_xlfn.DAYS(F149,E149)+1)/DAY(F149)))</f>
        <v/>
      </c>
      <c r="H149" s="127"/>
      <c r="I149" s="128" t="str">
        <f>IF($B148="","",IF($B148+1&gt;'Qredits maandlasten'!$C$4,"",I148-J148))</f>
        <v/>
      </c>
      <c r="J149" s="128" t="str">
        <f>IF($B148="","",IF($B148+1&gt;'Qredits maandlasten'!$C$4,"",IF(B148&lt;'Qredits maandlasten'!$C$11-1,0,IF('Qredits maandlasten'!$C$10=dropdowns!$A$121,'Qredits maandlasten'!$J$3,IF('Qredits maandlasten'!$C$10=dropdowns!$A$120,IFERROR('Qredits maandlasten'!$J$3-K149,0),0)))))</f>
        <v/>
      </c>
      <c r="K149" s="128" t="str">
        <f>IF($B148="","",IF($B148+1&gt;'Qredits maandlasten'!$C$4,"",G149*I149*'Qredits maandlasten'!$C$8))</f>
        <v/>
      </c>
      <c r="L149" s="128" t="str">
        <f t="shared" si="12"/>
        <v/>
      </c>
      <c r="M149" s="128" t="str">
        <f t="shared" si="10"/>
        <v/>
      </c>
      <c r="N149" s="127"/>
      <c r="O149" s="129" t="str">
        <f>IF($B149="","",'Qredits maandlasten'!$C$8)</f>
        <v/>
      </c>
      <c r="P149" s="129" t="str">
        <f>IF($B149="","",'Qredits maandlasten'!$C$8*(POWER(1+'Qredits maandlasten'!$C$8,$B149-1+1)))</f>
        <v/>
      </c>
      <c r="Q149" s="129" t="str">
        <f t="shared" si="13"/>
        <v/>
      </c>
      <c r="R149" s="127"/>
      <c r="S149" s="128" t="str">
        <f t="shared" si="11"/>
        <v/>
      </c>
      <c r="T149" s="128" t="str">
        <f>IF(S149="","",J149/(POWER(1+'Qredits maandlasten'!$C$8,$B149-1+1)))</f>
        <v/>
      </c>
      <c r="U149" s="130" t="str">
        <f t="shared" si="14"/>
        <v/>
      </c>
      <c r="V149" s="128" t="str">
        <f>IF($B149="","",K149/(POWER(1+'Qredits maandlasten'!$C$8,$B149-1+1)))</f>
        <v/>
      </c>
      <c r="W149" s="127"/>
    </row>
    <row r="150" spans="1:23" s="132" customFormat="1" x14ac:dyDescent="0.2">
      <c r="A150" s="123"/>
      <c r="B150" s="124" t="str">
        <f>IF($B149="","",IF($B149+1&gt;'Qredits maandlasten'!$C$4,"",Schema!B149+1))</f>
        <v/>
      </c>
      <c r="C150" s="125" t="str">
        <f>IF($B149="","",IF($B149+1&gt;'Qredits maandlasten'!$C$4,"",EOMONTH(C149,0)+1))</f>
        <v/>
      </c>
      <c r="D150" s="123"/>
      <c r="E150" s="125" t="str">
        <f>IF($B149="","",IF($B149+1&gt;'Qredits maandlasten'!$C$4,"",F149+1))</f>
        <v/>
      </c>
      <c r="F150" s="125" t="str">
        <f>IF($B149="","",IF($B149+1&gt;'Qredits maandlasten'!$C$4,"",EOMONTH(E150,0)))</f>
        <v/>
      </c>
      <c r="G150" s="126" t="str">
        <f>IF($B149="","",IF($B149+1&gt;'Qredits maandlasten'!$C$4,"",(_xlfn.DAYS(F150,E150)+1)/DAY(F150)))</f>
        <v/>
      </c>
      <c r="H150" s="127"/>
      <c r="I150" s="128" t="str">
        <f>IF($B149="","",IF($B149+1&gt;'Qredits maandlasten'!$C$4,"",I149-J149))</f>
        <v/>
      </c>
      <c r="J150" s="128" t="str">
        <f>IF($B149="","",IF($B149+1&gt;'Qredits maandlasten'!$C$4,"",IF(B149&lt;'Qredits maandlasten'!$C$11-1,0,IF('Qredits maandlasten'!$C$10=dropdowns!$A$121,'Qredits maandlasten'!$J$3,IF('Qredits maandlasten'!$C$10=dropdowns!$A$120,IFERROR('Qredits maandlasten'!$J$3-K150,0),0)))))</f>
        <v/>
      </c>
      <c r="K150" s="128" t="str">
        <f>IF($B149="","",IF($B149+1&gt;'Qredits maandlasten'!$C$4,"",G150*I150*'Qredits maandlasten'!$C$8))</f>
        <v/>
      </c>
      <c r="L150" s="128" t="str">
        <f t="shared" si="12"/>
        <v/>
      </c>
      <c r="M150" s="128" t="str">
        <f t="shared" si="10"/>
        <v/>
      </c>
      <c r="N150" s="127"/>
      <c r="O150" s="129" t="str">
        <f>IF($B150="","",'Qredits maandlasten'!$C$8)</f>
        <v/>
      </c>
      <c r="P150" s="129" t="str">
        <f>IF($B150="","",'Qredits maandlasten'!$C$8*(POWER(1+'Qredits maandlasten'!$C$8,$B150-1+1)))</f>
        <v/>
      </c>
      <c r="Q150" s="129" t="str">
        <f t="shared" si="13"/>
        <v/>
      </c>
      <c r="R150" s="127"/>
      <c r="S150" s="128" t="str">
        <f t="shared" si="11"/>
        <v/>
      </c>
      <c r="T150" s="128" t="str">
        <f>IF(S150="","",J150/(POWER(1+'Qredits maandlasten'!$C$8,$B150-1+1)))</f>
        <v/>
      </c>
      <c r="U150" s="130" t="str">
        <f t="shared" si="14"/>
        <v/>
      </c>
      <c r="V150" s="128" t="str">
        <f>IF($B150="","",K150/(POWER(1+'Qredits maandlasten'!$C$8,$B150-1+1)))</f>
        <v/>
      </c>
      <c r="W150" s="127"/>
    </row>
    <row r="151" spans="1:23" s="132" customFormat="1" x14ac:dyDescent="0.2">
      <c r="A151" s="123"/>
      <c r="B151" s="124" t="str">
        <f>IF($B150="","",IF($B150+1&gt;'Qredits maandlasten'!$C$4,"",Schema!B150+1))</f>
        <v/>
      </c>
      <c r="C151" s="125" t="str">
        <f>IF($B150="","",IF($B150+1&gt;'Qredits maandlasten'!$C$4,"",EOMONTH(C150,0)+1))</f>
        <v/>
      </c>
      <c r="D151" s="123"/>
      <c r="E151" s="125" t="str">
        <f>IF($B150="","",IF($B150+1&gt;'Qredits maandlasten'!$C$4,"",F150+1))</f>
        <v/>
      </c>
      <c r="F151" s="125" t="str">
        <f>IF($B150="","",IF($B150+1&gt;'Qredits maandlasten'!$C$4,"",EOMONTH(E151,0)))</f>
        <v/>
      </c>
      <c r="G151" s="126" t="str">
        <f>IF($B150="","",IF($B150+1&gt;'Qredits maandlasten'!$C$4,"",(_xlfn.DAYS(F151,E151)+1)/DAY(F151)))</f>
        <v/>
      </c>
      <c r="H151" s="127"/>
      <c r="I151" s="128" t="str">
        <f>IF($B150="","",IF($B150+1&gt;'Qredits maandlasten'!$C$4,"",I150-J150))</f>
        <v/>
      </c>
      <c r="J151" s="128" t="str">
        <f>IF($B150="","",IF($B150+1&gt;'Qredits maandlasten'!$C$4,"",IF(B150&lt;'Qredits maandlasten'!$C$11-1,0,IF('Qredits maandlasten'!$C$10=dropdowns!$A$121,'Qredits maandlasten'!$J$3,IF('Qredits maandlasten'!$C$10=dropdowns!$A$120,IFERROR('Qredits maandlasten'!$J$3-K151,0),0)))))</f>
        <v/>
      </c>
      <c r="K151" s="128" t="str">
        <f>IF($B150="","",IF($B150+1&gt;'Qredits maandlasten'!$C$4,"",G151*I151*'Qredits maandlasten'!$C$8))</f>
        <v/>
      </c>
      <c r="L151" s="128" t="str">
        <f t="shared" si="12"/>
        <v/>
      </c>
      <c r="M151" s="128" t="str">
        <f t="shared" si="10"/>
        <v/>
      </c>
      <c r="N151" s="127"/>
      <c r="O151" s="129" t="str">
        <f>IF($B151="","",'Qredits maandlasten'!$C$8)</f>
        <v/>
      </c>
      <c r="P151" s="129" t="str">
        <f>IF($B151="","",'Qredits maandlasten'!$C$8*(POWER(1+'Qredits maandlasten'!$C$8,$B151-1+1)))</f>
        <v/>
      </c>
      <c r="Q151" s="129" t="str">
        <f t="shared" si="13"/>
        <v/>
      </c>
      <c r="R151" s="127"/>
      <c r="S151" s="128" t="str">
        <f t="shared" si="11"/>
        <v/>
      </c>
      <c r="T151" s="128" t="str">
        <f>IF(S151="","",J151/(POWER(1+'Qredits maandlasten'!$C$8,$B151-1+1)))</f>
        <v/>
      </c>
      <c r="U151" s="130" t="str">
        <f t="shared" si="14"/>
        <v/>
      </c>
      <c r="V151" s="128" t="str">
        <f>IF($B151="","",K151/(POWER(1+'Qredits maandlasten'!$C$8,$B151-1+1)))</f>
        <v/>
      </c>
      <c r="W151" s="127"/>
    </row>
    <row r="152" spans="1:23" s="132" customFormat="1" x14ac:dyDescent="0.2">
      <c r="A152" s="123"/>
      <c r="B152" s="124" t="str">
        <f>IF($B151="","",IF($B151+1&gt;'Qredits maandlasten'!$C$4,"",Schema!B151+1))</f>
        <v/>
      </c>
      <c r="C152" s="125" t="str">
        <f>IF($B151="","",IF($B151+1&gt;'Qredits maandlasten'!$C$4,"",EOMONTH(C151,0)+1))</f>
        <v/>
      </c>
      <c r="D152" s="123"/>
      <c r="E152" s="125" t="str">
        <f>IF($B151="","",IF($B151+1&gt;'Qredits maandlasten'!$C$4,"",F151+1))</f>
        <v/>
      </c>
      <c r="F152" s="125" t="str">
        <f>IF($B151="","",IF($B151+1&gt;'Qredits maandlasten'!$C$4,"",EOMONTH(E152,0)))</f>
        <v/>
      </c>
      <c r="G152" s="126" t="str">
        <f>IF($B151="","",IF($B151+1&gt;'Qredits maandlasten'!$C$4,"",(_xlfn.DAYS(F152,E152)+1)/DAY(F152)))</f>
        <v/>
      </c>
      <c r="H152" s="127"/>
      <c r="I152" s="128" t="str">
        <f>IF($B151="","",IF($B151+1&gt;'Qredits maandlasten'!$C$4,"",I151-J151))</f>
        <v/>
      </c>
      <c r="J152" s="128" t="str">
        <f>IF($B151="","",IF($B151+1&gt;'Qredits maandlasten'!$C$4,"",IF(B151&lt;'Qredits maandlasten'!$C$11-1,0,IF('Qredits maandlasten'!$C$10=dropdowns!$A$121,'Qredits maandlasten'!$J$3,IF('Qredits maandlasten'!$C$10=dropdowns!$A$120,IFERROR('Qredits maandlasten'!$J$3-K152,0),0)))))</f>
        <v/>
      </c>
      <c r="K152" s="128" t="str">
        <f>IF($B151="","",IF($B151+1&gt;'Qredits maandlasten'!$C$4,"",G152*I152*'Qredits maandlasten'!$C$8))</f>
        <v/>
      </c>
      <c r="L152" s="128" t="str">
        <f t="shared" si="12"/>
        <v/>
      </c>
      <c r="M152" s="128" t="str">
        <f t="shared" si="10"/>
        <v/>
      </c>
      <c r="N152" s="127"/>
      <c r="O152" s="129" t="str">
        <f>IF($B152="","",'Qredits maandlasten'!$C$8)</f>
        <v/>
      </c>
      <c r="P152" s="129" t="str">
        <f>IF($B152="","",'Qredits maandlasten'!$C$8*(POWER(1+'Qredits maandlasten'!$C$8,$B152-1+1)))</f>
        <v/>
      </c>
      <c r="Q152" s="129" t="str">
        <f t="shared" si="13"/>
        <v/>
      </c>
      <c r="R152" s="127"/>
      <c r="S152" s="128" t="str">
        <f t="shared" si="11"/>
        <v/>
      </c>
      <c r="T152" s="128" t="str">
        <f>IF(S152="","",J152/(POWER(1+'Qredits maandlasten'!$C$8,$B152-1+1)))</f>
        <v/>
      </c>
      <c r="U152" s="130" t="str">
        <f t="shared" si="14"/>
        <v/>
      </c>
      <c r="V152" s="128" t="str">
        <f>IF($B152="","",K152/(POWER(1+'Qredits maandlasten'!$C$8,$B152-1+1)))</f>
        <v/>
      </c>
      <c r="W152" s="127"/>
    </row>
    <row r="153" spans="1:23" s="132" customFormat="1" x14ac:dyDescent="0.2">
      <c r="A153" s="123"/>
      <c r="B153" s="124" t="str">
        <f>IF($B152="","",IF($B152+1&gt;'Qredits maandlasten'!$C$4,"",Schema!B152+1))</f>
        <v/>
      </c>
      <c r="C153" s="125" t="str">
        <f>IF($B152="","",IF($B152+1&gt;'Qredits maandlasten'!$C$4,"",EOMONTH(C152,0)+1))</f>
        <v/>
      </c>
      <c r="D153" s="123"/>
      <c r="E153" s="125" t="str">
        <f>IF($B152="","",IF($B152+1&gt;'Qredits maandlasten'!$C$4,"",F152+1))</f>
        <v/>
      </c>
      <c r="F153" s="125" t="str">
        <f>IF($B152="","",IF($B152+1&gt;'Qredits maandlasten'!$C$4,"",EOMONTH(E153,0)))</f>
        <v/>
      </c>
      <c r="G153" s="126" t="str">
        <f>IF($B152="","",IF($B152+1&gt;'Qredits maandlasten'!$C$4,"",(_xlfn.DAYS(F153,E153)+1)/DAY(F153)))</f>
        <v/>
      </c>
      <c r="H153" s="127"/>
      <c r="I153" s="128" t="str">
        <f>IF($B152="","",IF($B152+1&gt;'Qredits maandlasten'!$C$4,"",I152-J152))</f>
        <v/>
      </c>
      <c r="J153" s="128" t="str">
        <f>IF($B152="","",IF($B152+1&gt;'Qredits maandlasten'!$C$4,"",IF(B152&lt;'Qredits maandlasten'!$C$11-1,0,IF('Qredits maandlasten'!$C$10=dropdowns!$A$121,'Qredits maandlasten'!$J$3,IF('Qredits maandlasten'!$C$10=dropdowns!$A$120,IFERROR('Qredits maandlasten'!$J$3-K153,0),0)))))</f>
        <v/>
      </c>
      <c r="K153" s="128" t="str">
        <f>IF($B152="","",IF($B152+1&gt;'Qredits maandlasten'!$C$4,"",G153*I153*'Qredits maandlasten'!$C$8))</f>
        <v/>
      </c>
      <c r="L153" s="128" t="str">
        <f t="shared" si="12"/>
        <v/>
      </c>
      <c r="M153" s="128" t="str">
        <f t="shared" si="10"/>
        <v/>
      </c>
      <c r="N153" s="127"/>
      <c r="O153" s="129" t="str">
        <f>IF($B153="","",'Qredits maandlasten'!$C$8)</f>
        <v/>
      </c>
      <c r="P153" s="129" t="str">
        <f>IF($B153="","",'Qredits maandlasten'!$C$8*(POWER(1+'Qredits maandlasten'!$C$8,$B153-1+1)))</f>
        <v/>
      </c>
      <c r="Q153" s="129" t="str">
        <f t="shared" si="13"/>
        <v/>
      </c>
      <c r="R153" s="127"/>
      <c r="S153" s="128" t="str">
        <f t="shared" si="11"/>
        <v/>
      </c>
      <c r="T153" s="128" t="str">
        <f>IF(S153="","",J153/(POWER(1+'Qredits maandlasten'!$C$8,$B153-1+1)))</f>
        <v/>
      </c>
      <c r="U153" s="130" t="str">
        <f t="shared" si="14"/>
        <v/>
      </c>
      <c r="V153" s="128" t="str">
        <f>IF($B153="","",K153/(POWER(1+'Qredits maandlasten'!$C$8,$B153-1+1)))</f>
        <v/>
      </c>
      <c r="W153" s="127"/>
    </row>
    <row r="154" spans="1:23" s="132" customFormat="1" x14ac:dyDescent="0.2">
      <c r="A154" s="123"/>
      <c r="B154" s="124" t="str">
        <f>IF($B153="","",IF($B153+1&gt;'Qredits maandlasten'!$C$4,"",Schema!B153+1))</f>
        <v/>
      </c>
      <c r="C154" s="125" t="str">
        <f>IF($B153="","",IF($B153+1&gt;'Qredits maandlasten'!$C$4,"",EOMONTH(C153,0)+1))</f>
        <v/>
      </c>
      <c r="D154" s="123"/>
      <c r="E154" s="125" t="str">
        <f>IF($B153="","",IF($B153+1&gt;'Qredits maandlasten'!$C$4,"",F153+1))</f>
        <v/>
      </c>
      <c r="F154" s="125" t="str">
        <f>IF($B153="","",IF($B153+1&gt;'Qredits maandlasten'!$C$4,"",EOMONTH(E154,0)))</f>
        <v/>
      </c>
      <c r="G154" s="126" t="str">
        <f>IF($B153="","",IF($B153+1&gt;'Qredits maandlasten'!$C$4,"",(_xlfn.DAYS(F154,E154)+1)/DAY(F154)))</f>
        <v/>
      </c>
      <c r="H154" s="127"/>
      <c r="I154" s="128" t="str">
        <f>IF($B153="","",IF($B153+1&gt;'Qredits maandlasten'!$C$4,"",I153-J153))</f>
        <v/>
      </c>
      <c r="J154" s="128" t="str">
        <f>IF($B153="","",IF($B153+1&gt;'Qredits maandlasten'!$C$4,"",IF(B153&lt;'Qredits maandlasten'!$C$11-1,0,IF('Qredits maandlasten'!$C$10=dropdowns!$A$121,'Qredits maandlasten'!$J$3,IF('Qredits maandlasten'!$C$10=dropdowns!$A$120,IFERROR('Qredits maandlasten'!$J$3-K154,0),0)))))</f>
        <v/>
      </c>
      <c r="K154" s="128" t="str">
        <f>IF($B153="","",IF($B153+1&gt;'Qredits maandlasten'!$C$4,"",G154*I154*'Qredits maandlasten'!$C$8))</f>
        <v/>
      </c>
      <c r="L154" s="128" t="str">
        <f t="shared" si="12"/>
        <v/>
      </c>
      <c r="M154" s="128" t="str">
        <f t="shared" si="10"/>
        <v/>
      </c>
      <c r="N154" s="127"/>
      <c r="O154" s="129" t="str">
        <f>IF($B154="","",'Qredits maandlasten'!$C$8)</f>
        <v/>
      </c>
      <c r="P154" s="129" t="str">
        <f>IF($B154="","",'Qredits maandlasten'!$C$8*(POWER(1+'Qredits maandlasten'!$C$8,$B154-1+1)))</f>
        <v/>
      </c>
      <c r="Q154" s="129" t="str">
        <f t="shared" si="13"/>
        <v/>
      </c>
      <c r="R154" s="127"/>
      <c r="S154" s="128" t="str">
        <f t="shared" si="11"/>
        <v/>
      </c>
      <c r="T154" s="128" t="str">
        <f>IF(S154="","",J154/(POWER(1+'Qredits maandlasten'!$C$8,$B154-1+1)))</f>
        <v/>
      </c>
      <c r="U154" s="130" t="str">
        <f t="shared" si="14"/>
        <v/>
      </c>
      <c r="V154" s="128" t="str">
        <f>IF($B154="","",K154/(POWER(1+'Qredits maandlasten'!$C$8,$B154-1+1)))</f>
        <v/>
      </c>
      <c r="W154" s="127"/>
    </row>
    <row r="155" spans="1:23" s="132" customFormat="1" x14ac:dyDescent="0.2">
      <c r="A155" s="123"/>
      <c r="B155" s="124" t="str">
        <f>IF($B154="","",IF($B154+1&gt;'Qredits maandlasten'!$C$4,"",Schema!B154+1))</f>
        <v/>
      </c>
      <c r="C155" s="125" t="str">
        <f>IF($B154="","",IF($B154+1&gt;'Qredits maandlasten'!$C$4,"",EOMONTH(C154,0)+1))</f>
        <v/>
      </c>
      <c r="D155" s="123"/>
      <c r="E155" s="125" t="str">
        <f>IF($B154="","",IF($B154+1&gt;'Qredits maandlasten'!$C$4,"",F154+1))</f>
        <v/>
      </c>
      <c r="F155" s="125" t="str">
        <f>IF($B154="","",IF($B154+1&gt;'Qredits maandlasten'!$C$4,"",EOMONTH(E155,0)))</f>
        <v/>
      </c>
      <c r="G155" s="126" t="str">
        <f>IF($B154="","",IF($B154+1&gt;'Qredits maandlasten'!$C$4,"",(_xlfn.DAYS(F155,E155)+1)/DAY(F155)))</f>
        <v/>
      </c>
      <c r="H155" s="127"/>
      <c r="I155" s="128" t="str">
        <f>IF($B154="","",IF($B154+1&gt;'Qredits maandlasten'!$C$4,"",I154-J154))</f>
        <v/>
      </c>
      <c r="J155" s="128" t="str">
        <f>IF($B154="","",IF($B154+1&gt;'Qredits maandlasten'!$C$4,"",IF(B154&lt;'Qredits maandlasten'!$C$11-1,0,IF('Qredits maandlasten'!$C$10=dropdowns!$A$121,'Qredits maandlasten'!$J$3,IF('Qredits maandlasten'!$C$10=dropdowns!$A$120,IFERROR('Qredits maandlasten'!$J$3-K155,0),0)))))</f>
        <v/>
      </c>
      <c r="K155" s="128" t="str">
        <f>IF($B154="","",IF($B154+1&gt;'Qredits maandlasten'!$C$4,"",G155*I155*'Qredits maandlasten'!$C$8))</f>
        <v/>
      </c>
      <c r="L155" s="128" t="str">
        <f t="shared" si="12"/>
        <v/>
      </c>
      <c r="M155" s="128" t="str">
        <f t="shared" si="10"/>
        <v/>
      </c>
      <c r="N155" s="127"/>
      <c r="O155" s="129" t="str">
        <f>IF($B155="","",'Qredits maandlasten'!$C$8)</f>
        <v/>
      </c>
      <c r="P155" s="129" t="str">
        <f>IF($B155="","",'Qredits maandlasten'!$C$8*(POWER(1+'Qredits maandlasten'!$C$8,$B155-1+1)))</f>
        <v/>
      </c>
      <c r="Q155" s="129" t="str">
        <f t="shared" si="13"/>
        <v/>
      </c>
      <c r="R155" s="127"/>
      <c r="S155" s="128" t="str">
        <f t="shared" si="11"/>
        <v/>
      </c>
      <c r="T155" s="128" t="str">
        <f>IF(S155="","",J155/(POWER(1+'Qredits maandlasten'!$C$8,$B155-1+1)))</f>
        <v/>
      </c>
      <c r="U155" s="130" t="str">
        <f t="shared" si="14"/>
        <v/>
      </c>
      <c r="V155" s="128" t="str">
        <f>IF($B155="","",K155/(POWER(1+'Qredits maandlasten'!$C$8,$B155-1+1)))</f>
        <v/>
      </c>
      <c r="W155" s="127"/>
    </row>
    <row r="156" spans="1:23" s="132" customFormat="1" x14ac:dyDescent="0.2">
      <c r="A156" s="123"/>
      <c r="B156" s="124" t="str">
        <f>IF($B155="","",IF($B155+1&gt;'Qredits maandlasten'!$C$4,"",Schema!B155+1))</f>
        <v/>
      </c>
      <c r="C156" s="125" t="str">
        <f>IF($B155="","",IF($B155+1&gt;'Qredits maandlasten'!$C$4,"",EOMONTH(C155,0)+1))</f>
        <v/>
      </c>
      <c r="D156" s="123"/>
      <c r="E156" s="125" t="str">
        <f>IF($B155="","",IF($B155+1&gt;'Qredits maandlasten'!$C$4,"",F155+1))</f>
        <v/>
      </c>
      <c r="F156" s="125" t="str">
        <f>IF($B155="","",IF($B155+1&gt;'Qredits maandlasten'!$C$4,"",EOMONTH(E156,0)))</f>
        <v/>
      </c>
      <c r="G156" s="126" t="str">
        <f>IF($B155="","",IF($B155+1&gt;'Qredits maandlasten'!$C$4,"",(_xlfn.DAYS(F156,E156)+1)/DAY(F156)))</f>
        <v/>
      </c>
      <c r="H156" s="127"/>
      <c r="I156" s="128" t="str">
        <f>IF($B155="","",IF($B155+1&gt;'Qredits maandlasten'!$C$4,"",I155-J155))</f>
        <v/>
      </c>
      <c r="J156" s="128" t="str">
        <f>IF($B155="","",IF($B155+1&gt;'Qredits maandlasten'!$C$4,"",IF(B155&lt;'Qredits maandlasten'!$C$11-1,0,IF('Qredits maandlasten'!$C$10=dropdowns!$A$121,'Qredits maandlasten'!$J$3,IF('Qredits maandlasten'!$C$10=dropdowns!$A$120,IFERROR('Qredits maandlasten'!$J$3-K156,0),0)))))</f>
        <v/>
      </c>
      <c r="K156" s="128" t="str">
        <f>IF($B155="","",IF($B155+1&gt;'Qredits maandlasten'!$C$4,"",G156*I156*'Qredits maandlasten'!$C$8))</f>
        <v/>
      </c>
      <c r="L156" s="128" t="str">
        <f t="shared" si="12"/>
        <v/>
      </c>
      <c r="M156" s="128" t="str">
        <f t="shared" si="10"/>
        <v/>
      </c>
      <c r="N156" s="127"/>
      <c r="O156" s="129" t="str">
        <f>IF($B156="","",'Qredits maandlasten'!$C$8)</f>
        <v/>
      </c>
      <c r="P156" s="129" t="str">
        <f>IF($B156="","",'Qredits maandlasten'!$C$8*(POWER(1+'Qredits maandlasten'!$C$8,$B156-1+1)))</f>
        <v/>
      </c>
      <c r="Q156" s="129" t="str">
        <f t="shared" si="13"/>
        <v/>
      </c>
      <c r="R156" s="127"/>
      <c r="S156" s="128" t="str">
        <f t="shared" si="11"/>
        <v/>
      </c>
      <c r="T156" s="128" t="str">
        <f>IF(S156="","",J156/(POWER(1+'Qredits maandlasten'!$C$8,$B156-1+1)))</f>
        <v/>
      </c>
      <c r="U156" s="130" t="str">
        <f t="shared" si="14"/>
        <v/>
      </c>
      <c r="V156" s="128" t="str">
        <f>IF($B156="","",K156/(POWER(1+'Qredits maandlasten'!$C$8,$B156-1+1)))</f>
        <v/>
      </c>
      <c r="W156" s="127"/>
    </row>
    <row r="157" spans="1:23" s="132" customFormat="1" x14ac:dyDescent="0.2">
      <c r="A157" s="123"/>
      <c r="B157" s="124" t="str">
        <f>IF($B156="","",IF($B156+1&gt;'Qredits maandlasten'!$C$4,"",Schema!B156+1))</f>
        <v/>
      </c>
      <c r="C157" s="125" t="str">
        <f>IF($B156="","",IF($B156+1&gt;'Qredits maandlasten'!$C$4,"",EOMONTH(C156,0)+1))</f>
        <v/>
      </c>
      <c r="D157" s="123"/>
      <c r="E157" s="125" t="str">
        <f>IF($B156="","",IF($B156+1&gt;'Qredits maandlasten'!$C$4,"",F156+1))</f>
        <v/>
      </c>
      <c r="F157" s="125" t="str">
        <f>IF($B156="","",IF($B156+1&gt;'Qredits maandlasten'!$C$4,"",EOMONTH(E157,0)))</f>
        <v/>
      </c>
      <c r="G157" s="126" t="str">
        <f>IF($B156="","",IF($B156+1&gt;'Qredits maandlasten'!$C$4,"",(_xlfn.DAYS(F157,E157)+1)/DAY(F157)))</f>
        <v/>
      </c>
      <c r="H157" s="127"/>
      <c r="I157" s="128" t="str">
        <f>IF($B156="","",IF($B156+1&gt;'Qredits maandlasten'!$C$4,"",I156-J156))</f>
        <v/>
      </c>
      <c r="J157" s="128" t="str">
        <f>IF($B156="","",IF($B156+1&gt;'Qredits maandlasten'!$C$4,"",IF(B156&lt;'Qredits maandlasten'!$C$11-1,0,IF('Qredits maandlasten'!$C$10=dropdowns!$A$121,'Qredits maandlasten'!$J$3,IF('Qredits maandlasten'!$C$10=dropdowns!$A$120,IFERROR('Qredits maandlasten'!$J$3-K157,0),0)))))</f>
        <v/>
      </c>
      <c r="K157" s="128" t="str">
        <f>IF($B156="","",IF($B156+1&gt;'Qredits maandlasten'!$C$4,"",G157*I157*'Qredits maandlasten'!$C$8))</f>
        <v/>
      </c>
      <c r="L157" s="128" t="str">
        <f t="shared" si="12"/>
        <v/>
      </c>
      <c r="M157" s="128" t="str">
        <f t="shared" si="10"/>
        <v/>
      </c>
      <c r="N157" s="127"/>
      <c r="O157" s="129" t="str">
        <f>IF($B157="","",'Qredits maandlasten'!$C$8)</f>
        <v/>
      </c>
      <c r="P157" s="129" t="str">
        <f>IF($B157="","",'Qredits maandlasten'!$C$8*(POWER(1+'Qredits maandlasten'!$C$8,$B157-1+1)))</f>
        <v/>
      </c>
      <c r="Q157" s="129" t="str">
        <f t="shared" si="13"/>
        <v/>
      </c>
      <c r="R157" s="127"/>
      <c r="S157" s="128" t="str">
        <f t="shared" si="11"/>
        <v/>
      </c>
      <c r="T157" s="128" t="str">
        <f>IF(S157="","",J157/(POWER(1+'Qredits maandlasten'!$C$8,$B157-1+1)))</f>
        <v/>
      </c>
      <c r="U157" s="130" t="str">
        <f t="shared" si="14"/>
        <v/>
      </c>
      <c r="V157" s="128" t="str">
        <f>IF($B157="","",K157/(POWER(1+'Qredits maandlasten'!$C$8,$B157-1+1)))</f>
        <v/>
      </c>
      <c r="W157" s="127"/>
    </row>
    <row r="158" spans="1:23" s="132" customFormat="1" x14ac:dyDescent="0.2">
      <c r="A158" s="123"/>
      <c r="B158" s="124" t="str">
        <f>IF($B157="","",IF($B157+1&gt;'Qredits maandlasten'!$C$4,"",Schema!B157+1))</f>
        <v/>
      </c>
      <c r="C158" s="125" t="str">
        <f>IF($B157="","",IF($B157+1&gt;'Qredits maandlasten'!$C$4,"",EOMONTH(C157,0)+1))</f>
        <v/>
      </c>
      <c r="D158" s="123"/>
      <c r="E158" s="125" t="str">
        <f>IF($B157="","",IF($B157+1&gt;'Qredits maandlasten'!$C$4,"",F157+1))</f>
        <v/>
      </c>
      <c r="F158" s="125" t="str">
        <f>IF($B157="","",IF($B157+1&gt;'Qredits maandlasten'!$C$4,"",EOMONTH(E158,0)))</f>
        <v/>
      </c>
      <c r="G158" s="126" t="str">
        <f>IF($B157="","",IF($B157+1&gt;'Qredits maandlasten'!$C$4,"",(_xlfn.DAYS(F158,E158)+1)/DAY(F158)))</f>
        <v/>
      </c>
      <c r="H158" s="127"/>
      <c r="I158" s="128" t="str">
        <f>IF($B157="","",IF($B157+1&gt;'Qredits maandlasten'!$C$4,"",I157-J157))</f>
        <v/>
      </c>
      <c r="J158" s="128" t="str">
        <f>IF($B157="","",IF($B157+1&gt;'Qredits maandlasten'!$C$4,"",IF(B157&lt;'Qredits maandlasten'!$C$11-1,0,IF('Qredits maandlasten'!$C$10=dropdowns!$A$121,'Qredits maandlasten'!$J$3,IF('Qredits maandlasten'!$C$10=dropdowns!$A$120,IFERROR('Qredits maandlasten'!$J$3-K158,0),0)))))</f>
        <v/>
      </c>
      <c r="K158" s="128" t="str">
        <f>IF($B157="","",IF($B157+1&gt;'Qredits maandlasten'!$C$4,"",G158*I158*'Qredits maandlasten'!$C$8))</f>
        <v/>
      </c>
      <c r="L158" s="128" t="str">
        <f t="shared" si="12"/>
        <v/>
      </c>
      <c r="M158" s="128" t="str">
        <f t="shared" si="10"/>
        <v/>
      </c>
      <c r="N158" s="127"/>
      <c r="O158" s="129" t="str">
        <f>IF($B158="","",'Qredits maandlasten'!$C$8)</f>
        <v/>
      </c>
      <c r="P158" s="129" t="str">
        <f>IF($B158="","",'Qredits maandlasten'!$C$8*(POWER(1+'Qredits maandlasten'!$C$8,$B158-1+1)))</f>
        <v/>
      </c>
      <c r="Q158" s="129" t="str">
        <f t="shared" si="13"/>
        <v/>
      </c>
      <c r="R158" s="127"/>
      <c r="S158" s="128" t="str">
        <f t="shared" si="11"/>
        <v/>
      </c>
      <c r="T158" s="128" t="str">
        <f>IF(S158="","",J158/(POWER(1+'Qredits maandlasten'!$C$8,$B158-1+1)))</f>
        <v/>
      </c>
      <c r="U158" s="130" t="str">
        <f t="shared" si="14"/>
        <v/>
      </c>
      <c r="V158" s="128" t="str">
        <f>IF($B158="","",K158/(POWER(1+'Qredits maandlasten'!$C$8,$B158-1+1)))</f>
        <v/>
      </c>
      <c r="W158" s="127"/>
    </row>
    <row r="159" spans="1:23" s="132" customFormat="1" x14ac:dyDescent="0.2">
      <c r="A159" s="123"/>
      <c r="B159" s="124" t="str">
        <f>IF($B158="","",IF($B158+1&gt;'Qredits maandlasten'!$C$4,"",Schema!B158+1))</f>
        <v/>
      </c>
      <c r="C159" s="125" t="str">
        <f>IF($B158="","",IF($B158+1&gt;'Qredits maandlasten'!$C$4,"",EOMONTH(C158,0)+1))</f>
        <v/>
      </c>
      <c r="D159" s="123"/>
      <c r="E159" s="125" t="str">
        <f>IF($B158="","",IF($B158+1&gt;'Qredits maandlasten'!$C$4,"",F158+1))</f>
        <v/>
      </c>
      <c r="F159" s="125" t="str">
        <f>IF($B158="","",IF($B158+1&gt;'Qredits maandlasten'!$C$4,"",EOMONTH(E159,0)))</f>
        <v/>
      </c>
      <c r="G159" s="126" t="str">
        <f>IF($B158="","",IF($B158+1&gt;'Qredits maandlasten'!$C$4,"",(_xlfn.DAYS(F159,E159)+1)/DAY(F159)))</f>
        <v/>
      </c>
      <c r="H159" s="127"/>
      <c r="I159" s="128" t="str">
        <f>IF($B158="","",IF($B158+1&gt;'Qredits maandlasten'!$C$4,"",I158-J158))</f>
        <v/>
      </c>
      <c r="J159" s="128" t="str">
        <f>IF($B158="","",IF($B158+1&gt;'Qredits maandlasten'!$C$4,"",IF(B158&lt;'Qredits maandlasten'!$C$11-1,0,IF('Qredits maandlasten'!$C$10=dropdowns!$A$121,'Qredits maandlasten'!$J$3,IF('Qredits maandlasten'!$C$10=dropdowns!$A$120,IFERROR('Qredits maandlasten'!$J$3-K159,0),0)))))</f>
        <v/>
      </c>
      <c r="K159" s="128" t="str">
        <f>IF($B158="","",IF($B158+1&gt;'Qredits maandlasten'!$C$4,"",G159*I159*'Qredits maandlasten'!$C$8))</f>
        <v/>
      </c>
      <c r="L159" s="128" t="str">
        <f t="shared" si="12"/>
        <v/>
      </c>
      <c r="M159" s="128" t="str">
        <f t="shared" si="10"/>
        <v/>
      </c>
      <c r="N159" s="127"/>
      <c r="O159" s="129" t="str">
        <f>IF($B159="","",'Qredits maandlasten'!$C$8)</f>
        <v/>
      </c>
      <c r="P159" s="129" t="str">
        <f>IF($B159="","",'Qredits maandlasten'!$C$8*(POWER(1+'Qredits maandlasten'!$C$8,$B159-1+1)))</f>
        <v/>
      </c>
      <c r="Q159" s="129" t="str">
        <f t="shared" si="13"/>
        <v/>
      </c>
      <c r="R159" s="127"/>
      <c r="S159" s="128" t="str">
        <f t="shared" si="11"/>
        <v/>
      </c>
      <c r="T159" s="128" t="str">
        <f>IF(S159="","",J159/(POWER(1+'Qredits maandlasten'!$C$8,$B159-1+1)))</f>
        <v/>
      </c>
      <c r="U159" s="130" t="str">
        <f t="shared" si="14"/>
        <v/>
      </c>
      <c r="V159" s="128" t="str">
        <f>IF($B159="","",K159/(POWER(1+'Qredits maandlasten'!$C$8,$B159-1+1)))</f>
        <v/>
      </c>
      <c r="W159" s="127"/>
    </row>
    <row r="160" spans="1:23" s="132" customFormat="1" x14ac:dyDescent="0.2">
      <c r="A160" s="123"/>
      <c r="B160" s="124" t="str">
        <f>IF($B159="","",IF($B159+1&gt;'Qredits maandlasten'!$C$4,"",Schema!B159+1))</f>
        <v/>
      </c>
      <c r="C160" s="125" t="str">
        <f>IF($B159="","",IF($B159+1&gt;'Qredits maandlasten'!$C$4,"",EOMONTH(C159,0)+1))</f>
        <v/>
      </c>
      <c r="D160" s="123"/>
      <c r="E160" s="125" t="str">
        <f>IF($B159="","",IF($B159+1&gt;'Qredits maandlasten'!$C$4,"",F159+1))</f>
        <v/>
      </c>
      <c r="F160" s="125" t="str">
        <f>IF($B159="","",IF($B159+1&gt;'Qredits maandlasten'!$C$4,"",EOMONTH(E160,0)))</f>
        <v/>
      </c>
      <c r="G160" s="126" t="str">
        <f>IF($B159="","",IF($B159+1&gt;'Qredits maandlasten'!$C$4,"",(_xlfn.DAYS(F160,E160)+1)/DAY(F160)))</f>
        <v/>
      </c>
      <c r="H160" s="127"/>
      <c r="I160" s="128" t="str">
        <f>IF($B159="","",IF($B159+1&gt;'Qredits maandlasten'!$C$4,"",I159-J159))</f>
        <v/>
      </c>
      <c r="J160" s="128" t="str">
        <f>IF($B159="","",IF($B159+1&gt;'Qredits maandlasten'!$C$4,"",IF(B159&lt;'Qredits maandlasten'!$C$11-1,0,IF('Qredits maandlasten'!$C$10=dropdowns!$A$121,'Qredits maandlasten'!$J$3,IF('Qredits maandlasten'!$C$10=dropdowns!$A$120,IFERROR('Qredits maandlasten'!$J$3-K160,0),0)))))</f>
        <v/>
      </c>
      <c r="K160" s="128" t="str">
        <f>IF($B159="","",IF($B159+1&gt;'Qredits maandlasten'!$C$4,"",G160*I160*'Qredits maandlasten'!$C$8))</f>
        <v/>
      </c>
      <c r="L160" s="128" t="str">
        <f t="shared" si="12"/>
        <v/>
      </c>
      <c r="M160" s="128" t="str">
        <f t="shared" si="10"/>
        <v/>
      </c>
      <c r="N160" s="127"/>
      <c r="O160" s="129" t="str">
        <f>IF($B160="","",'Qredits maandlasten'!$C$8)</f>
        <v/>
      </c>
      <c r="P160" s="129" t="str">
        <f>IF($B160="","",'Qredits maandlasten'!$C$8*(POWER(1+'Qredits maandlasten'!$C$8,$B160-1+1)))</f>
        <v/>
      </c>
      <c r="Q160" s="129" t="str">
        <f t="shared" si="13"/>
        <v/>
      </c>
      <c r="R160" s="127"/>
      <c r="S160" s="128" t="str">
        <f t="shared" si="11"/>
        <v/>
      </c>
      <c r="T160" s="128" t="str">
        <f>IF(S160="","",J160/(POWER(1+'Qredits maandlasten'!$C$8,$B160-1+1)))</f>
        <v/>
      </c>
      <c r="U160" s="130" t="str">
        <f t="shared" si="14"/>
        <v/>
      </c>
      <c r="V160" s="128" t="str">
        <f>IF($B160="","",K160/(POWER(1+'Qredits maandlasten'!$C$8,$B160-1+1)))</f>
        <v/>
      </c>
      <c r="W160" s="127"/>
    </row>
    <row r="161" spans="1:23" s="132" customFormat="1" x14ac:dyDescent="0.2">
      <c r="A161" s="123"/>
      <c r="B161" s="124" t="str">
        <f>IF($B160="","",IF($B160+1&gt;'Qredits maandlasten'!$C$4,"",Schema!B160+1))</f>
        <v/>
      </c>
      <c r="C161" s="125" t="str">
        <f>IF($B160="","",IF($B160+1&gt;'Qredits maandlasten'!$C$4,"",EOMONTH(C160,0)+1))</f>
        <v/>
      </c>
      <c r="D161" s="123"/>
      <c r="E161" s="125" t="str">
        <f>IF($B160="","",IF($B160+1&gt;'Qredits maandlasten'!$C$4,"",F160+1))</f>
        <v/>
      </c>
      <c r="F161" s="125" t="str">
        <f>IF($B160="","",IF($B160+1&gt;'Qredits maandlasten'!$C$4,"",EOMONTH(E161,0)))</f>
        <v/>
      </c>
      <c r="G161" s="126" t="str">
        <f>IF($B160="","",IF($B160+1&gt;'Qredits maandlasten'!$C$4,"",(_xlfn.DAYS(F161,E161)+1)/DAY(F161)))</f>
        <v/>
      </c>
      <c r="H161" s="127"/>
      <c r="I161" s="128" t="str">
        <f>IF($B160="","",IF($B160+1&gt;'Qredits maandlasten'!$C$4,"",I160-J160))</f>
        <v/>
      </c>
      <c r="J161" s="128" t="str">
        <f>IF($B160="","",IF($B160+1&gt;'Qredits maandlasten'!$C$4,"",IF(B160&lt;'Qredits maandlasten'!$C$11-1,0,IF('Qredits maandlasten'!$C$10=dropdowns!$A$121,'Qredits maandlasten'!$J$3,IF('Qredits maandlasten'!$C$10=dropdowns!$A$120,IFERROR('Qredits maandlasten'!$J$3-K161,0),0)))))</f>
        <v/>
      </c>
      <c r="K161" s="128" t="str">
        <f>IF($B160="","",IF($B160+1&gt;'Qredits maandlasten'!$C$4,"",G161*I161*'Qredits maandlasten'!$C$8))</f>
        <v/>
      </c>
      <c r="L161" s="128" t="str">
        <f t="shared" si="12"/>
        <v/>
      </c>
      <c r="M161" s="128" t="str">
        <f t="shared" si="10"/>
        <v/>
      </c>
      <c r="N161" s="127"/>
      <c r="O161" s="129" t="str">
        <f>IF($B161="","",'Qredits maandlasten'!$C$8)</f>
        <v/>
      </c>
      <c r="P161" s="129" t="str">
        <f>IF($B161="","",'Qredits maandlasten'!$C$8*(POWER(1+'Qredits maandlasten'!$C$8,$B161-1+1)))</f>
        <v/>
      </c>
      <c r="Q161" s="129" t="str">
        <f t="shared" si="13"/>
        <v/>
      </c>
      <c r="R161" s="127"/>
      <c r="S161" s="128" t="str">
        <f t="shared" si="11"/>
        <v/>
      </c>
      <c r="T161" s="128" t="str">
        <f>IF(S161="","",J161/(POWER(1+'Qredits maandlasten'!$C$8,$B161-1+1)))</f>
        <v/>
      </c>
      <c r="U161" s="130" t="str">
        <f t="shared" si="14"/>
        <v/>
      </c>
      <c r="V161" s="128" t="str">
        <f>IF($B161="","",K161/(POWER(1+'Qredits maandlasten'!$C$8,$B161-1+1)))</f>
        <v/>
      </c>
      <c r="W161" s="127"/>
    </row>
    <row r="162" spans="1:23" s="132" customFormat="1" x14ac:dyDescent="0.2">
      <c r="A162" s="123"/>
      <c r="B162" s="124" t="str">
        <f>IF($B161="","",IF($B161+1&gt;'Qredits maandlasten'!$C$4,"",Schema!B161+1))</f>
        <v/>
      </c>
      <c r="C162" s="125" t="str">
        <f>IF($B161="","",IF($B161+1&gt;'Qredits maandlasten'!$C$4,"",EOMONTH(C161,0)+1))</f>
        <v/>
      </c>
      <c r="D162" s="123"/>
      <c r="E162" s="125" t="str">
        <f>IF($B161="","",IF($B161+1&gt;'Qredits maandlasten'!$C$4,"",F161+1))</f>
        <v/>
      </c>
      <c r="F162" s="125" t="str">
        <f>IF($B161="","",IF($B161+1&gt;'Qredits maandlasten'!$C$4,"",EOMONTH(E162,0)))</f>
        <v/>
      </c>
      <c r="G162" s="126" t="str">
        <f>IF($B161="","",IF($B161+1&gt;'Qredits maandlasten'!$C$4,"",(_xlfn.DAYS(F162,E162)+1)/DAY(F162)))</f>
        <v/>
      </c>
      <c r="H162" s="127"/>
      <c r="I162" s="128" t="str">
        <f>IF($B161="","",IF($B161+1&gt;'Qredits maandlasten'!$C$4,"",I161-J161))</f>
        <v/>
      </c>
      <c r="J162" s="128" t="str">
        <f>IF($B161="","",IF($B161+1&gt;'Qredits maandlasten'!$C$4,"",IF(B161&lt;'Qredits maandlasten'!$C$11-1,0,IF('Qredits maandlasten'!$C$10=dropdowns!$A$121,'Qredits maandlasten'!$J$3,IF('Qredits maandlasten'!$C$10=dropdowns!$A$120,IFERROR('Qredits maandlasten'!$J$3-K162,0),0)))))</f>
        <v/>
      </c>
      <c r="K162" s="128" t="str">
        <f>IF($B161="","",IF($B161+1&gt;'Qredits maandlasten'!$C$4,"",G162*I162*'Qredits maandlasten'!$C$8))</f>
        <v/>
      </c>
      <c r="L162" s="128" t="str">
        <f t="shared" si="12"/>
        <v/>
      </c>
      <c r="M162" s="128" t="str">
        <f t="shared" si="10"/>
        <v/>
      </c>
      <c r="N162" s="127"/>
      <c r="O162" s="129" t="str">
        <f>IF($B162="","",'Qredits maandlasten'!$C$8)</f>
        <v/>
      </c>
      <c r="P162" s="129" t="str">
        <f>IF($B162="","",'Qredits maandlasten'!$C$8*(POWER(1+'Qredits maandlasten'!$C$8,$B162-1+1)))</f>
        <v/>
      </c>
      <c r="Q162" s="129" t="str">
        <f t="shared" si="13"/>
        <v/>
      </c>
      <c r="R162" s="127"/>
      <c r="S162" s="128" t="str">
        <f t="shared" si="11"/>
        <v/>
      </c>
      <c r="T162" s="128" t="str">
        <f>IF(S162="","",J162/(POWER(1+'Qredits maandlasten'!$C$8,$B162-1+1)))</f>
        <v/>
      </c>
      <c r="U162" s="130" t="str">
        <f t="shared" si="14"/>
        <v/>
      </c>
      <c r="V162" s="128" t="str">
        <f>IF($B162="","",K162/(POWER(1+'Qredits maandlasten'!$C$8,$B162-1+1)))</f>
        <v/>
      </c>
      <c r="W162" s="127"/>
    </row>
    <row r="163" spans="1:23" s="132" customFormat="1" x14ac:dyDescent="0.2">
      <c r="A163" s="123"/>
      <c r="B163" s="124" t="str">
        <f>IF($B162="","",IF($B162+1&gt;'Qredits maandlasten'!$C$4,"",Schema!B162+1))</f>
        <v/>
      </c>
      <c r="C163" s="125" t="str">
        <f>IF($B162="","",IF($B162+1&gt;'Qredits maandlasten'!$C$4,"",EOMONTH(C162,0)+1))</f>
        <v/>
      </c>
      <c r="D163" s="123"/>
      <c r="E163" s="125" t="str">
        <f>IF($B162="","",IF($B162+1&gt;'Qredits maandlasten'!$C$4,"",F162+1))</f>
        <v/>
      </c>
      <c r="F163" s="125" t="str">
        <f>IF($B162="","",IF($B162+1&gt;'Qredits maandlasten'!$C$4,"",EOMONTH(E163,0)))</f>
        <v/>
      </c>
      <c r="G163" s="126" t="str">
        <f>IF($B162="","",IF($B162+1&gt;'Qredits maandlasten'!$C$4,"",(_xlfn.DAYS(F163,E163)+1)/DAY(F163)))</f>
        <v/>
      </c>
      <c r="H163" s="127"/>
      <c r="I163" s="128" t="str">
        <f>IF($B162="","",IF($B162+1&gt;'Qredits maandlasten'!$C$4,"",I162-J162))</f>
        <v/>
      </c>
      <c r="J163" s="128" t="str">
        <f>IF($B162="","",IF($B162+1&gt;'Qredits maandlasten'!$C$4,"",IF(B162&lt;'Qredits maandlasten'!$C$11-1,0,IF('Qredits maandlasten'!$C$10=dropdowns!$A$121,'Qredits maandlasten'!$J$3,IF('Qredits maandlasten'!$C$10=dropdowns!$A$120,IFERROR('Qredits maandlasten'!$J$3-K163,0),0)))))</f>
        <v/>
      </c>
      <c r="K163" s="128" t="str">
        <f>IF($B162="","",IF($B162+1&gt;'Qredits maandlasten'!$C$4,"",G163*I163*'Qredits maandlasten'!$C$8))</f>
        <v/>
      </c>
      <c r="L163" s="128" t="str">
        <f t="shared" si="12"/>
        <v/>
      </c>
      <c r="M163" s="128" t="str">
        <f t="shared" si="10"/>
        <v/>
      </c>
      <c r="N163" s="127"/>
      <c r="O163" s="129" t="str">
        <f>IF($B163="","",'Qredits maandlasten'!$C$8)</f>
        <v/>
      </c>
      <c r="P163" s="129" t="str">
        <f>IF($B163="","",'Qredits maandlasten'!$C$8*(POWER(1+'Qredits maandlasten'!$C$8,$B163-1+1)))</f>
        <v/>
      </c>
      <c r="Q163" s="129" t="str">
        <f t="shared" si="13"/>
        <v/>
      </c>
      <c r="R163" s="127"/>
      <c r="S163" s="128" t="str">
        <f t="shared" si="11"/>
        <v/>
      </c>
      <c r="T163" s="128" t="str">
        <f>IF(S163="","",J163/(POWER(1+'Qredits maandlasten'!$C$8,$B163-1+1)))</f>
        <v/>
      </c>
      <c r="U163" s="130" t="str">
        <f t="shared" si="14"/>
        <v/>
      </c>
      <c r="V163" s="128" t="str">
        <f>IF($B163="","",K163/(POWER(1+'Qredits maandlasten'!$C$8,$B163-1+1)))</f>
        <v/>
      </c>
      <c r="W163" s="127"/>
    </row>
    <row r="164" spans="1:23" s="132" customFormat="1" x14ac:dyDescent="0.2">
      <c r="A164" s="123"/>
      <c r="B164" s="124" t="str">
        <f>IF($B163="","",IF($B163+1&gt;'Qredits maandlasten'!$C$4,"",Schema!B163+1))</f>
        <v/>
      </c>
      <c r="C164" s="125" t="str">
        <f>IF($B163="","",IF($B163+1&gt;'Qredits maandlasten'!$C$4,"",EOMONTH(C163,0)+1))</f>
        <v/>
      </c>
      <c r="D164" s="123"/>
      <c r="E164" s="125" t="str">
        <f>IF($B163="","",IF($B163+1&gt;'Qredits maandlasten'!$C$4,"",F163+1))</f>
        <v/>
      </c>
      <c r="F164" s="125" t="str">
        <f>IF($B163="","",IF($B163+1&gt;'Qredits maandlasten'!$C$4,"",EOMONTH(E164,0)))</f>
        <v/>
      </c>
      <c r="G164" s="126" t="str">
        <f>IF($B163="","",IF($B163+1&gt;'Qredits maandlasten'!$C$4,"",(_xlfn.DAYS(F164,E164)+1)/DAY(F164)))</f>
        <v/>
      </c>
      <c r="H164" s="127"/>
      <c r="I164" s="128" t="str">
        <f>IF($B163="","",IF($B163+1&gt;'Qredits maandlasten'!$C$4,"",I163-J163))</f>
        <v/>
      </c>
      <c r="J164" s="128" t="str">
        <f>IF($B163="","",IF($B163+1&gt;'Qredits maandlasten'!$C$4,"",IF(B163&lt;'Qredits maandlasten'!$C$11-1,0,IF('Qredits maandlasten'!$C$10=dropdowns!$A$121,'Qredits maandlasten'!$J$3,IF('Qredits maandlasten'!$C$10=dropdowns!$A$120,IFERROR('Qredits maandlasten'!$J$3-K164,0),0)))))</f>
        <v/>
      </c>
      <c r="K164" s="128" t="str">
        <f>IF($B163="","",IF($B163+1&gt;'Qredits maandlasten'!$C$4,"",G164*I164*'Qredits maandlasten'!$C$8))</f>
        <v/>
      </c>
      <c r="L164" s="128" t="str">
        <f t="shared" si="12"/>
        <v/>
      </c>
      <c r="M164" s="128" t="str">
        <f t="shared" si="10"/>
        <v/>
      </c>
      <c r="N164" s="127"/>
      <c r="O164" s="129" t="str">
        <f>IF($B164="","",'Qredits maandlasten'!$C$8)</f>
        <v/>
      </c>
      <c r="P164" s="129" t="str">
        <f>IF($B164="","",'Qredits maandlasten'!$C$8*(POWER(1+'Qredits maandlasten'!$C$8,$B164-1+1)))</f>
        <v/>
      </c>
      <c r="Q164" s="129" t="str">
        <f t="shared" si="13"/>
        <v/>
      </c>
      <c r="R164" s="127"/>
      <c r="S164" s="128" t="str">
        <f t="shared" si="11"/>
        <v/>
      </c>
      <c r="T164" s="128" t="str">
        <f>IF(S164="","",J164/(POWER(1+'Qredits maandlasten'!$C$8,$B164-1+1)))</f>
        <v/>
      </c>
      <c r="U164" s="130" t="str">
        <f t="shared" si="14"/>
        <v/>
      </c>
      <c r="V164" s="128" t="str">
        <f>IF($B164="","",K164/(POWER(1+'Qredits maandlasten'!$C$8,$B164-1+1)))</f>
        <v/>
      </c>
      <c r="W164" s="127"/>
    </row>
    <row r="165" spans="1:23" s="132" customFormat="1" x14ac:dyDescent="0.2">
      <c r="A165" s="123"/>
      <c r="B165" s="124" t="str">
        <f>IF($B164="","",IF($B164+1&gt;'Qredits maandlasten'!$C$4,"",Schema!B164+1))</f>
        <v/>
      </c>
      <c r="C165" s="125" t="str">
        <f>IF($B164="","",IF($B164+1&gt;'Qredits maandlasten'!$C$4,"",EOMONTH(C164,0)+1))</f>
        <v/>
      </c>
      <c r="D165" s="123"/>
      <c r="E165" s="125" t="str">
        <f>IF($B164="","",IF($B164+1&gt;'Qredits maandlasten'!$C$4,"",F164+1))</f>
        <v/>
      </c>
      <c r="F165" s="125" t="str">
        <f>IF($B164="","",IF($B164+1&gt;'Qredits maandlasten'!$C$4,"",EOMONTH(E165,0)))</f>
        <v/>
      </c>
      <c r="G165" s="126" t="str">
        <f>IF($B164="","",IF($B164+1&gt;'Qredits maandlasten'!$C$4,"",(_xlfn.DAYS(F165,E165)+1)/DAY(F165)))</f>
        <v/>
      </c>
      <c r="H165" s="127"/>
      <c r="I165" s="128" t="str">
        <f>IF($B164="","",IF($B164+1&gt;'Qredits maandlasten'!$C$4,"",I164-J164))</f>
        <v/>
      </c>
      <c r="J165" s="128" t="str">
        <f>IF($B164="","",IF($B164+1&gt;'Qredits maandlasten'!$C$4,"",IF(B164&lt;'Qredits maandlasten'!$C$11-1,0,IF('Qredits maandlasten'!$C$10=dropdowns!$A$121,'Qredits maandlasten'!$J$3,IF('Qredits maandlasten'!$C$10=dropdowns!$A$120,IFERROR('Qredits maandlasten'!$J$3-K165,0),0)))))</f>
        <v/>
      </c>
      <c r="K165" s="128" t="str">
        <f>IF($B164="","",IF($B164+1&gt;'Qredits maandlasten'!$C$4,"",G165*I165*'Qredits maandlasten'!$C$8))</f>
        <v/>
      </c>
      <c r="L165" s="128" t="str">
        <f t="shared" si="12"/>
        <v/>
      </c>
      <c r="M165" s="128" t="str">
        <f t="shared" si="10"/>
        <v/>
      </c>
      <c r="N165" s="127"/>
      <c r="O165" s="129" t="str">
        <f>IF($B165="","",'Qredits maandlasten'!$C$8)</f>
        <v/>
      </c>
      <c r="P165" s="129" t="str">
        <f>IF($B165="","",'Qredits maandlasten'!$C$8*(POWER(1+'Qredits maandlasten'!$C$8,$B165-1+1)))</f>
        <v/>
      </c>
      <c r="Q165" s="129" t="str">
        <f t="shared" si="13"/>
        <v/>
      </c>
      <c r="R165" s="127"/>
      <c r="S165" s="128" t="str">
        <f t="shared" si="11"/>
        <v/>
      </c>
      <c r="T165" s="128" t="str">
        <f>IF(S165="","",J165/(POWER(1+'Qredits maandlasten'!$C$8,$B165-1+1)))</f>
        <v/>
      </c>
      <c r="U165" s="130" t="str">
        <f t="shared" si="14"/>
        <v/>
      </c>
      <c r="V165" s="128" t="str">
        <f>IF($B165="","",K165/(POWER(1+'Qredits maandlasten'!$C$8,$B165-1+1)))</f>
        <v/>
      </c>
      <c r="W165" s="127"/>
    </row>
    <row r="166" spans="1:23" s="132" customFormat="1" x14ac:dyDescent="0.2">
      <c r="A166" s="123"/>
      <c r="B166" s="124" t="str">
        <f>IF($B165="","",IF($B165+1&gt;'Qredits maandlasten'!$C$4,"",Schema!B165+1))</f>
        <v/>
      </c>
      <c r="C166" s="125" t="str">
        <f>IF($B165="","",IF($B165+1&gt;'Qredits maandlasten'!$C$4,"",EOMONTH(C165,0)+1))</f>
        <v/>
      </c>
      <c r="D166" s="123"/>
      <c r="E166" s="125" t="str">
        <f>IF($B165="","",IF($B165+1&gt;'Qredits maandlasten'!$C$4,"",F165+1))</f>
        <v/>
      </c>
      <c r="F166" s="125" t="str">
        <f>IF($B165="","",IF($B165+1&gt;'Qredits maandlasten'!$C$4,"",EOMONTH(E166,0)))</f>
        <v/>
      </c>
      <c r="G166" s="126" t="str">
        <f>IF($B165="","",IF($B165+1&gt;'Qredits maandlasten'!$C$4,"",(_xlfn.DAYS(F166,E166)+1)/DAY(F166)))</f>
        <v/>
      </c>
      <c r="H166" s="127"/>
      <c r="I166" s="128" t="str">
        <f>IF($B165="","",IF($B165+1&gt;'Qredits maandlasten'!$C$4,"",I165-J165))</f>
        <v/>
      </c>
      <c r="J166" s="128" t="str">
        <f>IF($B165="","",IF($B165+1&gt;'Qredits maandlasten'!$C$4,"",IF(B165&lt;'Qredits maandlasten'!$C$11-1,0,IF('Qredits maandlasten'!$C$10=dropdowns!$A$121,'Qredits maandlasten'!$J$3,IF('Qredits maandlasten'!$C$10=dropdowns!$A$120,IFERROR('Qredits maandlasten'!$J$3-K166,0),0)))))</f>
        <v/>
      </c>
      <c r="K166" s="128" t="str">
        <f>IF($B165="","",IF($B165+1&gt;'Qredits maandlasten'!$C$4,"",G166*I166*'Qredits maandlasten'!$C$8))</f>
        <v/>
      </c>
      <c r="L166" s="128" t="str">
        <f t="shared" si="12"/>
        <v/>
      </c>
      <c r="M166" s="128" t="str">
        <f t="shared" si="10"/>
        <v/>
      </c>
      <c r="N166" s="127"/>
      <c r="O166" s="129" t="str">
        <f>IF($B166="","",'Qredits maandlasten'!$C$8)</f>
        <v/>
      </c>
      <c r="P166" s="129" t="str">
        <f>IF($B166="","",'Qredits maandlasten'!$C$8*(POWER(1+'Qredits maandlasten'!$C$8,$B166-1+1)))</f>
        <v/>
      </c>
      <c r="Q166" s="129" t="str">
        <f t="shared" si="13"/>
        <v/>
      </c>
      <c r="R166" s="127"/>
      <c r="S166" s="128" t="str">
        <f t="shared" si="11"/>
        <v/>
      </c>
      <c r="T166" s="128" t="str">
        <f>IF(S166="","",J166/(POWER(1+'Qredits maandlasten'!$C$8,$B166-1+1)))</f>
        <v/>
      </c>
      <c r="U166" s="130" t="str">
        <f t="shared" si="14"/>
        <v/>
      </c>
      <c r="V166" s="128" t="str">
        <f>IF($B166="","",K166/(POWER(1+'Qredits maandlasten'!$C$8,$B166-1+1)))</f>
        <v/>
      </c>
      <c r="W166" s="127"/>
    </row>
    <row r="167" spans="1:23" s="132" customFormat="1" x14ac:dyDescent="0.2">
      <c r="A167" s="123"/>
      <c r="B167" s="124" t="str">
        <f>IF($B166="","",IF($B166+1&gt;'Qredits maandlasten'!$C$4,"",Schema!B166+1))</f>
        <v/>
      </c>
      <c r="C167" s="125" t="str">
        <f>IF($B166="","",IF($B166+1&gt;'Qredits maandlasten'!$C$4,"",EOMONTH(C166,0)+1))</f>
        <v/>
      </c>
      <c r="D167" s="123"/>
      <c r="E167" s="125" t="str">
        <f>IF($B166="","",IF($B166+1&gt;'Qredits maandlasten'!$C$4,"",F166+1))</f>
        <v/>
      </c>
      <c r="F167" s="125" t="str">
        <f>IF($B166="","",IF($B166+1&gt;'Qredits maandlasten'!$C$4,"",EOMONTH(E167,0)))</f>
        <v/>
      </c>
      <c r="G167" s="126" t="str">
        <f>IF($B166="","",IF($B166+1&gt;'Qredits maandlasten'!$C$4,"",(_xlfn.DAYS(F167,E167)+1)/DAY(F167)))</f>
        <v/>
      </c>
      <c r="H167" s="127"/>
      <c r="I167" s="128" t="str">
        <f>IF($B166="","",IF($B166+1&gt;'Qredits maandlasten'!$C$4,"",I166-J166))</f>
        <v/>
      </c>
      <c r="J167" s="128" t="str">
        <f>IF($B166="","",IF($B166+1&gt;'Qredits maandlasten'!$C$4,"",IF(B166&lt;'Qredits maandlasten'!$C$11-1,0,IF('Qredits maandlasten'!$C$10=dropdowns!$A$121,'Qredits maandlasten'!$J$3,IF('Qredits maandlasten'!$C$10=dropdowns!$A$120,IFERROR('Qredits maandlasten'!$J$3-K167,0),0)))))</f>
        <v/>
      </c>
      <c r="K167" s="128" t="str">
        <f>IF($B166="","",IF($B166+1&gt;'Qredits maandlasten'!$C$4,"",G167*I167*'Qredits maandlasten'!$C$8))</f>
        <v/>
      </c>
      <c r="L167" s="128" t="str">
        <f t="shared" si="12"/>
        <v/>
      </c>
      <c r="M167" s="128" t="str">
        <f t="shared" si="10"/>
        <v/>
      </c>
      <c r="N167" s="127"/>
      <c r="O167" s="129" t="str">
        <f>IF($B167="","",'Qredits maandlasten'!$C$8)</f>
        <v/>
      </c>
      <c r="P167" s="129" t="str">
        <f>IF($B167="","",'Qredits maandlasten'!$C$8*(POWER(1+'Qredits maandlasten'!$C$8,$B167-1+1)))</f>
        <v/>
      </c>
      <c r="Q167" s="129" t="str">
        <f t="shared" si="13"/>
        <v/>
      </c>
      <c r="R167" s="127"/>
      <c r="S167" s="128" t="str">
        <f t="shared" si="11"/>
        <v/>
      </c>
      <c r="T167" s="128" t="str">
        <f>IF(S167="","",J167/(POWER(1+'Qredits maandlasten'!$C$8,$B167-1+1)))</f>
        <v/>
      </c>
      <c r="U167" s="130" t="str">
        <f t="shared" si="14"/>
        <v/>
      </c>
      <c r="V167" s="128" t="str">
        <f>IF($B167="","",K167/(POWER(1+'Qredits maandlasten'!$C$8,$B167-1+1)))</f>
        <v/>
      </c>
      <c r="W167" s="127"/>
    </row>
    <row r="168" spans="1:23" s="132" customFormat="1" x14ac:dyDescent="0.2">
      <c r="A168" s="123"/>
      <c r="B168" s="124" t="str">
        <f>IF($B167="","",IF($B167+1&gt;'Qredits maandlasten'!$C$4,"",Schema!B167+1))</f>
        <v/>
      </c>
      <c r="C168" s="125" t="str">
        <f>IF($B167="","",IF($B167+1&gt;'Qredits maandlasten'!$C$4,"",EOMONTH(C167,0)+1))</f>
        <v/>
      </c>
      <c r="D168" s="123"/>
      <c r="E168" s="125" t="str">
        <f>IF($B167="","",IF($B167+1&gt;'Qredits maandlasten'!$C$4,"",F167+1))</f>
        <v/>
      </c>
      <c r="F168" s="125" t="str">
        <f>IF($B167="","",IF($B167+1&gt;'Qredits maandlasten'!$C$4,"",EOMONTH(E168,0)))</f>
        <v/>
      </c>
      <c r="G168" s="126" t="str">
        <f>IF($B167="","",IF($B167+1&gt;'Qredits maandlasten'!$C$4,"",(_xlfn.DAYS(F168,E168)+1)/DAY(F168)))</f>
        <v/>
      </c>
      <c r="H168" s="127"/>
      <c r="I168" s="128" t="str">
        <f>IF($B167="","",IF($B167+1&gt;'Qredits maandlasten'!$C$4,"",I167-J167))</f>
        <v/>
      </c>
      <c r="J168" s="128" t="str">
        <f>IF($B167="","",IF($B167+1&gt;'Qredits maandlasten'!$C$4,"",IF(B167&lt;'Qredits maandlasten'!$C$11-1,0,IF('Qredits maandlasten'!$C$10=dropdowns!$A$121,'Qredits maandlasten'!$J$3,IF('Qredits maandlasten'!$C$10=dropdowns!$A$120,IFERROR('Qredits maandlasten'!$J$3-K168,0),0)))))</f>
        <v/>
      </c>
      <c r="K168" s="128" t="str">
        <f>IF($B167="","",IF($B167+1&gt;'Qredits maandlasten'!$C$4,"",G168*I168*'Qredits maandlasten'!$C$8))</f>
        <v/>
      </c>
      <c r="L168" s="128" t="str">
        <f t="shared" si="12"/>
        <v/>
      </c>
      <c r="M168" s="128" t="str">
        <f t="shared" si="10"/>
        <v/>
      </c>
      <c r="N168" s="127"/>
      <c r="O168" s="129" t="str">
        <f>IF($B168="","",'Qredits maandlasten'!$C$8)</f>
        <v/>
      </c>
      <c r="P168" s="129" t="str">
        <f>IF($B168="","",'Qredits maandlasten'!$C$8*(POWER(1+'Qredits maandlasten'!$C$8,$B168-1+1)))</f>
        <v/>
      </c>
      <c r="Q168" s="129" t="str">
        <f t="shared" si="13"/>
        <v/>
      </c>
      <c r="R168" s="127"/>
      <c r="S168" s="128" t="str">
        <f t="shared" si="11"/>
        <v/>
      </c>
      <c r="T168" s="128" t="str">
        <f>IF(S168="","",J168/(POWER(1+'Qredits maandlasten'!$C$8,$B168-1+1)))</f>
        <v/>
      </c>
      <c r="U168" s="130" t="str">
        <f t="shared" si="14"/>
        <v/>
      </c>
      <c r="V168" s="128" t="str">
        <f>IF($B168="","",K168/(POWER(1+'Qredits maandlasten'!$C$8,$B168-1+1)))</f>
        <v/>
      </c>
      <c r="W168" s="127"/>
    </row>
    <row r="169" spans="1:23" s="132" customFormat="1" x14ac:dyDescent="0.2">
      <c r="A169" s="123"/>
      <c r="B169" s="124" t="str">
        <f>IF($B168="","",IF($B168+1&gt;'Qredits maandlasten'!$C$4,"",Schema!B168+1))</f>
        <v/>
      </c>
      <c r="C169" s="125" t="str">
        <f>IF($B168="","",IF($B168+1&gt;'Qredits maandlasten'!$C$4,"",EOMONTH(C168,0)+1))</f>
        <v/>
      </c>
      <c r="D169" s="123"/>
      <c r="E169" s="125" t="str">
        <f>IF($B168="","",IF($B168+1&gt;'Qredits maandlasten'!$C$4,"",F168+1))</f>
        <v/>
      </c>
      <c r="F169" s="125" t="str">
        <f>IF($B168="","",IF($B168+1&gt;'Qredits maandlasten'!$C$4,"",EOMONTH(E169,0)))</f>
        <v/>
      </c>
      <c r="G169" s="126" t="str">
        <f>IF($B168="","",IF($B168+1&gt;'Qredits maandlasten'!$C$4,"",(_xlfn.DAYS(F169,E169)+1)/DAY(F169)))</f>
        <v/>
      </c>
      <c r="H169" s="127"/>
      <c r="I169" s="128" t="str">
        <f>IF($B168="","",IF($B168+1&gt;'Qredits maandlasten'!$C$4,"",I168-J168))</f>
        <v/>
      </c>
      <c r="J169" s="128" t="str">
        <f>IF($B168="","",IF($B168+1&gt;'Qredits maandlasten'!$C$4,"",IF(B168&lt;'Qredits maandlasten'!$C$11-1,0,IF('Qredits maandlasten'!$C$10=dropdowns!$A$121,'Qredits maandlasten'!$J$3,IF('Qredits maandlasten'!$C$10=dropdowns!$A$120,IFERROR('Qredits maandlasten'!$J$3-K169,0),0)))))</f>
        <v/>
      </c>
      <c r="K169" s="128" t="str">
        <f>IF($B168="","",IF($B168+1&gt;'Qredits maandlasten'!$C$4,"",G169*I169*'Qredits maandlasten'!$C$8))</f>
        <v/>
      </c>
      <c r="L169" s="128" t="str">
        <f t="shared" si="12"/>
        <v/>
      </c>
      <c r="M169" s="128" t="str">
        <f t="shared" si="10"/>
        <v/>
      </c>
      <c r="N169" s="127"/>
      <c r="O169" s="129" t="str">
        <f>IF($B169="","",'Qredits maandlasten'!$C$8)</f>
        <v/>
      </c>
      <c r="P169" s="129" t="str">
        <f>IF($B169="","",'Qredits maandlasten'!$C$8*(POWER(1+'Qredits maandlasten'!$C$8,$B169-1+1)))</f>
        <v/>
      </c>
      <c r="Q169" s="129" t="str">
        <f t="shared" si="13"/>
        <v/>
      </c>
      <c r="R169" s="127"/>
      <c r="S169" s="128" t="str">
        <f t="shared" si="11"/>
        <v/>
      </c>
      <c r="T169" s="128" t="str">
        <f>IF(S169="","",J169/(POWER(1+'Qredits maandlasten'!$C$8,$B169-1+1)))</f>
        <v/>
      </c>
      <c r="U169" s="130" t="str">
        <f t="shared" si="14"/>
        <v/>
      </c>
      <c r="V169" s="128" t="str">
        <f>IF($B169="","",K169/(POWER(1+'Qredits maandlasten'!$C$8,$B169-1+1)))</f>
        <v/>
      </c>
      <c r="W169" s="127"/>
    </row>
    <row r="170" spans="1:23" s="132" customFormat="1" x14ac:dyDescent="0.2">
      <c r="A170" s="123"/>
      <c r="B170" s="124" t="str">
        <f>IF($B169="","",IF($B169+1&gt;'Qredits maandlasten'!$C$4,"",Schema!B169+1))</f>
        <v/>
      </c>
      <c r="C170" s="125" t="str">
        <f>IF($B169="","",IF($B169+1&gt;'Qredits maandlasten'!$C$4,"",EOMONTH(C169,0)+1))</f>
        <v/>
      </c>
      <c r="D170" s="123"/>
      <c r="E170" s="125" t="str">
        <f>IF($B169="","",IF($B169+1&gt;'Qredits maandlasten'!$C$4,"",F169+1))</f>
        <v/>
      </c>
      <c r="F170" s="125" t="str">
        <f>IF($B169="","",IF($B169+1&gt;'Qredits maandlasten'!$C$4,"",EOMONTH(E170,0)))</f>
        <v/>
      </c>
      <c r="G170" s="126" t="str">
        <f>IF($B169="","",IF($B169+1&gt;'Qredits maandlasten'!$C$4,"",(_xlfn.DAYS(F170,E170)+1)/DAY(F170)))</f>
        <v/>
      </c>
      <c r="H170" s="127"/>
      <c r="I170" s="128" t="str">
        <f>IF($B169="","",IF($B169+1&gt;'Qredits maandlasten'!$C$4,"",I169-J169))</f>
        <v/>
      </c>
      <c r="J170" s="128" t="str">
        <f>IF($B169="","",IF($B169+1&gt;'Qredits maandlasten'!$C$4,"",IF(B169&lt;'Qredits maandlasten'!$C$11-1,0,IF('Qredits maandlasten'!$C$10=dropdowns!$A$121,'Qredits maandlasten'!$J$3,IF('Qredits maandlasten'!$C$10=dropdowns!$A$120,IFERROR('Qredits maandlasten'!$J$3-K170,0),0)))))</f>
        <v/>
      </c>
      <c r="K170" s="128" t="str">
        <f>IF($B169="","",IF($B169+1&gt;'Qredits maandlasten'!$C$4,"",G170*I170*'Qredits maandlasten'!$C$8))</f>
        <v/>
      </c>
      <c r="L170" s="128" t="str">
        <f t="shared" si="12"/>
        <v/>
      </c>
      <c r="M170" s="128" t="str">
        <f t="shared" si="10"/>
        <v/>
      </c>
      <c r="N170" s="127"/>
      <c r="O170" s="129" t="str">
        <f>IF($B170="","",'Qredits maandlasten'!$C$8)</f>
        <v/>
      </c>
      <c r="P170" s="129" t="str">
        <f>IF($B170="","",'Qredits maandlasten'!$C$8*(POWER(1+'Qredits maandlasten'!$C$8,$B170-1+1)))</f>
        <v/>
      </c>
      <c r="Q170" s="129" t="str">
        <f t="shared" si="13"/>
        <v/>
      </c>
      <c r="R170" s="127"/>
      <c r="S170" s="128" t="str">
        <f t="shared" si="11"/>
        <v/>
      </c>
      <c r="T170" s="128" t="str">
        <f>IF(S170="","",J170/(POWER(1+'Qredits maandlasten'!$C$8,$B170-1+1)))</f>
        <v/>
      </c>
      <c r="U170" s="130" t="str">
        <f t="shared" si="14"/>
        <v/>
      </c>
      <c r="V170" s="128" t="str">
        <f>IF($B170="","",K170/(POWER(1+'Qredits maandlasten'!$C$8,$B170-1+1)))</f>
        <v/>
      </c>
      <c r="W170" s="127"/>
    </row>
    <row r="171" spans="1:23" s="132" customFormat="1" x14ac:dyDescent="0.2">
      <c r="A171" s="123"/>
      <c r="B171" s="124" t="str">
        <f>IF($B170="","",IF($B170+1&gt;'Qredits maandlasten'!$C$4,"",Schema!B170+1))</f>
        <v/>
      </c>
      <c r="C171" s="125" t="str">
        <f>IF($B170="","",IF($B170+1&gt;'Qredits maandlasten'!$C$4,"",EOMONTH(C170,0)+1))</f>
        <v/>
      </c>
      <c r="D171" s="123"/>
      <c r="E171" s="125" t="str">
        <f>IF($B170="","",IF($B170+1&gt;'Qredits maandlasten'!$C$4,"",F170+1))</f>
        <v/>
      </c>
      <c r="F171" s="125" t="str">
        <f>IF($B170="","",IF($B170+1&gt;'Qredits maandlasten'!$C$4,"",EOMONTH(E171,0)))</f>
        <v/>
      </c>
      <c r="G171" s="126" t="str">
        <f>IF($B170="","",IF($B170+1&gt;'Qredits maandlasten'!$C$4,"",(_xlfn.DAYS(F171,E171)+1)/DAY(F171)))</f>
        <v/>
      </c>
      <c r="H171" s="127"/>
      <c r="I171" s="128" t="str">
        <f>IF($B170="","",IF($B170+1&gt;'Qredits maandlasten'!$C$4,"",I170-J170))</f>
        <v/>
      </c>
      <c r="J171" s="128" t="str">
        <f>IF($B170="","",IF($B170+1&gt;'Qredits maandlasten'!$C$4,"",IF(B170&lt;'Qredits maandlasten'!$C$11-1,0,IF('Qredits maandlasten'!$C$10=dropdowns!$A$121,'Qredits maandlasten'!$J$3,IF('Qredits maandlasten'!$C$10=dropdowns!$A$120,IFERROR('Qredits maandlasten'!$J$3-K171,0),0)))))</f>
        <v/>
      </c>
      <c r="K171" s="128" t="str">
        <f>IF($B170="","",IF($B170+1&gt;'Qredits maandlasten'!$C$4,"",G171*I171*'Qredits maandlasten'!$C$8))</f>
        <v/>
      </c>
      <c r="L171" s="128" t="str">
        <f t="shared" si="12"/>
        <v/>
      </c>
      <c r="M171" s="128" t="str">
        <f t="shared" si="10"/>
        <v/>
      </c>
      <c r="N171" s="127"/>
      <c r="O171" s="129" t="str">
        <f>IF($B171="","",'Qredits maandlasten'!$C$8)</f>
        <v/>
      </c>
      <c r="P171" s="129" t="str">
        <f>IF($B171="","",'Qredits maandlasten'!$C$8*(POWER(1+'Qredits maandlasten'!$C$8,$B171-1+1)))</f>
        <v/>
      </c>
      <c r="Q171" s="129" t="str">
        <f t="shared" si="13"/>
        <v/>
      </c>
      <c r="R171" s="127"/>
      <c r="S171" s="128" t="str">
        <f t="shared" si="11"/>
        <v/>
      </c>
      <c r="T171" s="128" t="str">
        <f>IF(S171="","",J171/(POWER(1+'Qredits maandlasten'!$C$8,$B171-1+1)))</f>
        <v/>
      </c>
      <c r="U171" s="130" t="str">
        <f t="shared" si="14"/>
        <v/>
      </c>
      <c r="V171" s="128" t="str">
        <f>IF($B171="","",K171/(POWER(1+'Qredits maandlasten'!$C$8,$B171-1+1)))</f>
        <v/>
      </c>
      <c r="W171" s="127"/>
    </row>
    <row r="172" spans="1:23" s="132" customFormat="1" x14ac:dyDescent="0.2">
      <c r="A172" s="123"/>
      <c r="B172" s="124" t="str">
        <f>IF($B171="","",IF($B171+1&gt;'Qredits maandlasten'!$C$4,"",Schema!B171+1))</f>
        <v/>
      </c>
      <c r="C172" s="125" t="str">
        <f>IF($B171="","",IF($B171+1&gt;'Qredits maandlasten'!$C$4,"",EOMONTH(C171,0)+1))</f>
        <v/>
      </c>
      <c r="D172" s="123"/>
      <c r="E172" s="125" t="str">
        <f>IF($B171="","",IF($B171+1&gt;'Qredits maandlasten'!$C$4,"",F171+1))</f>
        <v/>
      </c>
      <c r="F172" s="125" t="str">
        <f>IF($B171="","",IF($B171+1&gt;'Qredits maandlasten'!$C$4,"",EOMONTH(E172,0)))</f>
        <v/>
      </c>
      <c r="G172" s="126" t="str">
        <f>IF($B171="","",IF($B171+1&gt;'Qredits maandlasten'!$C$4,"",(_xlfn.DAYS(F172,E172)+1)/DAY(F172)))</f>
        <v/>
      </c>
      <c r="H172" s="127"/>
      <c r="I172" s="128" t="str">
        <f>IF($B171="","",IF($B171+1&gt;'Qredits maandlasten'!$C$4,"",I171-J171))</f>
        <v/>
      </c>
      <c r="J172" s="128" t="str">
        <f>IF($B171="","",IF($B171+1&gt;'Qredits maandlasten'!$C$4,"",IF(B171&lt;'Qredits maandlasten'!$C$11-1,0,IF('Qredits maandlasten'!$C$10=dropdowns!$A$121,'Qredits maandlasten'!$J$3,IF('Qredits maandlasten'!$C$10=dropdowns!$A$120,IFERROR('Qredits maandlasten'!$J$3-K172,0),0)))))</f>
        <v/>
      </c>
      <c r="K172" s="128" t="str">
        <f>IF($B171="","",IF($B171+1&gt;'Qredits maandlasten'!$C$4,"",G172*I172*'Qredits maandlasten'!$C$8))</f>
        <v/>
      </c>
      <c r="L172" s="128" t="str">
        <f t="shared" si="12"/>
        <v/>
      </c>
      <c r="M172" s="128" t="str">
        <f t="shared" si="10"/>
        <v/>
      </c>
      <c r="N172" s="127"/>
      <c r="O172" s="129" t="str">
        <f>IF($B172="","",'Qredits maandlasten'!$C$8)</f>
        <v/>
      </c>
      <c r="P172" s="129" t="str">
        <f>IF($B172="","",'Qredits maandlasten'!$C$8*(POWER(1+'Qredits maandlasten'!$C$8,$B172-1+1)))</f>
        <v/>
      </c>
      <c r="Q172" s="129" t="str">
        <f t="shared" si="13"/>
        <v/>
      </c>
      <c r="R172" s="127"/>
      <c r="S172" s="128" t="str">
        <f t="shared" si="11"/>
        <v/>
      </c>
      <c r="T172" s="128" t="str">
        <f>IF(S172="","",J172/(POWER(1+'Qredits maandlasten'!$C$8,$B172-1+1)))</f>
        <v/>
      </c>
      <c r="U172" s="130" t="str">
        <f t="shared" si="14"/>
        <v/>
      </c>
      <c r="V172" s="128" t="str">
        <f>IF($B172="","",K172/(POWER(1+'Qredits maandlasten'!$C$8,$B172-1+1)))</f>
        <v/>
      </c>
      <c r="W172" s="127"/>
    </row>
    <row r="173" spans="1:23" s="132" customFormat="1" x14ac:dyDescent="0.2">
      <c r="A173" s="123"/>
      <c r="B173" s="124" t="str">
        <f>IF($B172="","",IF($B172+1&gt;'Qredits maandlasten'!$C$4,"",Schema!B172+1))</f>
        <v/>
      </c>
      <c r="C173" s="125" t="str">
        <f>IF($B172="","",IF($B172+1&gt;'Qredits maandlasten'!$C$4,"",EOMONTH(C172,0)+1))</f>
        <v/>
      </c>
      <c r="D173" s="123"/>
      <c r="E173" s="125" t="str">
        <f>IF($B172="","",IF($B172+1&gt;'Qredits maandlasten'!$C$4,"",F172+1))</f>
        <v/>
      </c>
      <c r="F173" s="125" t="str">
        <f>IF($B172="","",IF($B172+1&gt;'Qredits maandlasten'!$C$4,"",EOMONTH(E173,0)))</f>
        <v/>
      </c>
      <c r="G173" s="126" t="str">
        <f>IF($B172="","",IF($B172+1&gt;'Qredits maandlasten'!$C$4,"",(_xlfn.DAYS(F173,E173)+1)/DAY(F173)))</f>
        <v/>
      </c>
      <c r="H173" s="127"/>
      <c r="I173" s="128" t="str">
        <f>IF($B172="","",IF($B172+1&gt;'Qredits maandlasten'!$C$4,"",I172-J172))</f>
        <v/>
      </c>
      <c r="J173" s="128" t="str">
        <f>IF($B172="","",IF($B172+1&gt;'Qredits maandlasten'!$C$4,"",IF(B172&lt;'Qredits maandlasten'!$C$11-1,0,IF('Qredits maandlasten'!$C$10=dropdowns!$A$121,'Qredits maandlasten'!$J$3,IF('Qredits maandlasten'!$C$10=dropdowns!$A$120,IFERROR('Qredits maandlasten'!$J$3-K173,0),0)))))</f>
        <v/>
      </c>
      <c r="K173" s="128" t="str">
        <f>IF($B172="","",IF($B172+1&gt;'Qredits maandlasten'!$C$4,"",G173*I173*'Qredits maandlasten'!$C$8))</f>
        <v/>
      </c>
      <c r="L173" s="128" t="str">
        <f t="shared" si="12"/>
        <v/>
      </c>
      <c r="M173" s="128" t="str">
        <f t="shared" si="10"/>
        <v/>
      </c>
      <c r="N173" s="127"/>
      <c r="O173" s="129" t="str">
        <f>IF($B173="","",'Qredits maandlasten'!$C$8)</f>
        <v/>
      </c>
      <c r="P173" s="129" t="str">
        <f>IF($B173="","",'Qredits maandlasten'!$C$8*(POWER(1+'Qredits maandlasten'!$C$8,$B173-1+1)))</f>
        <v/>
      </c>
      <c r="Q173" s="129" t="str">
        <f t="shared" si="13"/>
        <v/>
      </c>
      <c r="R173" s="127"/>
      <c r="S173" s="128" t="str">
        <f t="shared" si="11"/>
        <v/>
      </c>
      <c r="T173" s="128" t="str">
        <f>IF(S173="","",J173/(POWER(1+'Qredits maandlasten'!$C$8,$B173-1+1)))</f>
        <v/>
      </c>
      <c r="U173" s="130" t="str">
        <f t="shared" si="14"/>
        <v/>
      </c>
      <c r="V173" s="128" t="str">
        <f>IF($B173="","",K173/(POWER(1+'Qredits maandlasten'!$C$8,$B173-1+1)))</f>
        <v/>
      </c>
      <c r="W173" s="127"/>
    </row>
    <row r="174" spans="1:23" s="132" customFormat="1" x14ac:dyDescent="0.2">
      <c r="A174" s="123"/>
      <c r="B174" s="124" t="str">
        <f>IF($B173="","",IF($B173+1&gt;'Qredits maandlasten'!$C$4,"",Schema!B173+1))</f>
        <v/>
      </c>
      <c r="C174" s="125" t="str">
        <f>IF($B173="","",IF($B173+1&gt;'Qredits maandlasten'!$C$4,"",EOMONTH(C173,0)+1))</f>
        <v/>
      </c>
      <c r="D174" s="123"/>
      <c r="E174" s="125" t="str">
        <f>IF($B173="","",IF($B173+1&gt;'Qredits maandlasten'!$C$4,"",F173+1))</f>
        <v/>
      </c>
      <c r="F174" s="125" t="str">
        <f>IF($B173="","",IF($B173+1&gt;'Qredits maandlasten'!$C$4,"",EOMONTH(E174,0)))</f>
        <v/>
      </c>
      <c r="G174" s="126" t="str">
        <f>IF($B173="","",IF($B173+1&gt;'Qredits maandlasten'!$C$4,"",(_xlfn.DAYS(F174,E174)+1)/DAY(F174)))</f>
        <v/>
      </c>
      <c r="H174" s="127"/>
      <c r="I174" s="128" t="str">
        <f>IF($B173="","",IF($B173+1&gt;'Qredits maandlasten'!$C$4,"",I173-J173))</f>
        <v/>
      </c>
      <c r="J174" s="128" t="str">
        <f>IF($B173="","",IF($B173+1&gt;'Qredits maandlasten'!$C$4,"",IF(B173&lt;'Qredits maandlasten'!$C$11-1,0,IF('Qredits maandlasten'!$C$10=dropdowns!$A$121,'Qredits maandlasten'!$J$3,IF('Qredits maandlasten'!$C$10=dropdowns!$A$120,IFERROR('Qredits maandlasten'!$J$3-K174,0),0)))))</f>
        <v/>
      </c>
      <c r="K174" s="128" t="str">
        <f>IF($B173="","",IF($B173+1&gt;'Qredits maandlasten'!$C$4,"",G174*I174*'Qredits maandlasten'!$C$8))</f>
        <v/>
      </c>
      <c r="L174" s="128" t="str">
        <f t="shared" si="12"/>
        <v/>
      </c>
      <c r="M174" s="128" t="str">
        <f t="shared" si="10"/>
        <v/>
      </c>
      <c r="N174" s="127"/>
      <c r="O174" s="129" t="str">
        <f>IF($B174="","",'Qredits maandlasten'!$C$8)</f>
        <v/>
      </c>
      <c r="P174" s="129" t="str">
        <f>IF($B174="","",'Qredits maandlasten'!$C$8*(POWER(1+'Qredits maandlasten'!$C$8,$B174-1+1)))</f>
        <v/>
      </c>
      <c r="Q174" s="129" t="str">
        <f t="shared" si="13"/>
        <v/>
      </c>
      <c r="R174" s="127"/>
      <c r="S174" s="128" t="str">
        <f t="shared" si="11"/>
        <v/>
      </c>
      <c r="T174" s="128" t="str">
        <f>IF(S174="","",J174/(POWER(1+'Qredits maandlasten'!$C$8,$B174-1+1)))</f>
        <v/>
      </c>
      <c r="U174" s="130" t="str">
        <f t="shared" si="14"/>
        <v/>
      </c>
      <c r="V174" s="128" t="str">
        <f>IF($B174="","",K174/(POWER(1+'Qredits maandlasten'!$C$8,$B174-1+1)))</f>
        <v/>
      </c>
      <c r="W174" s="127"/>
    </row>
    <row r="175" spans="1:23" s="132" customFormat="1" x14ac:dyDescent="0.2">
      <c r="A175" s="123"/>
      <c r="B175" s="124" t="str">
        <f>IF($B174="","",IF($B174+1&gt;'Qredits maandlasten'!$C$4,"",Schema!B174+1))</f>
        <v/>
      </c>
      <c r="C175" s="125" t="str">
        <f>IF($B174="","",IF($B174+1&gt;'Qredits maandlasten'!$C$4,"",EOMONTH(C174,0)+1))</f>
        <v/>
      </c>
      <c r="D175" s="123"/>
      <c r="E175" s="125" t="str">
        <f>IF($B174="","",IF($B174+1&gt;'Qredits maandlasten'!$C$4,"",F174+1))</f>
        <v/>
      </c>
      <c r="F175" s="125" t="str">
        <f>IF($B174="","",IF($B174+1&gt;'Qredits maandlasten'!$C$4,"",EOMONTH(E175,0)))</f>
        <v/>
      </c>
      <c r="G175" s="126" t="str">
        <f>IF($B174="","",IF($B174+1&gt;'Qredits maandlasten'!$C$4,"",(_xlfn.DAYS(F175,E175)+1)/DAY(F175)))</f>
        <v/>
      </c>
      <c r="H175" s="127"/>
      <c r="I175" s="128" t="str">
        <f>IF($B174="","",IF($B174+1&gt;'Qredits maandlasten'!$C$4,"",I174-J174))</f>
        <v/>
      </c>
      <c r="J175" s="128" t="str">
        <f>IF($B174="","",IF($B174+1&gt;'Qredits maandlasten'!$C$4,"",IF(B174&lt;'Qredits maandlasten'!$C$11-1,0,IF('Qredits maandlasten'!$C$10=dropdowns!$A$121,'Qredits maandlasten'!$J$3,IF('Qredits maandlasten'!$C$10=dropdowns!$A$120,IFERROR('Qredits maandlasten'!$J$3-K175,0),0)))))</f>
        <v/>
      </c>
      <c r="K175" s="128" t="str">
        <f>IF($B174="","",IF($B174+1&gt;'Qredits maandlasten'!$C$4,"",G175*I175*'Qredits maandlasten'!$C$8))</f>
        <v/>
      </c>
      <c r="L175" s="128" t="str">
        <f t="shared" si="12"/>
        <v/>
      </c>
      <c r="M175" s="128" t="str">
        <f t="shared" si="10"/>
        <v/>
      </c>
      <c r="N175" s="127"/>
      <c r="O175" s="129" t="str">
        <f>IF($B175="","",'Qredits maandlasten'!$C$8)</f>
        <v/>
      </c>
      <c r="P175" s="129" t="str">
        <f>IF($B175="","",'Qredits maandlasten'!$C$8*(POWER(1+'Qredits maandlasten'!$C$8,$B175-1+1)))</f>
        <v/>
      </c>
      <c r="Q175" s="129" t="str">
        <f t="shared" si="13"/>
        <v/>
      </c>
      <c r="R175" s="127"/>
      <c r="S175" s="128" t="str">
        <f t="shared" si="11"/>
        <v/>
      </c>
      <c r="T175" s="128" t="str">
        <f>IF(S175="","",J175/(POWER(1+'Qredits maandlasten'!$C$8,$B175-1+1)))</f>
        <v/>
      </c>
      <c r="U175" s="130" t="str">
        <f t="shared" si="14"/>
        <v/>
      </c>
      <c r="V175" s="128" t="str">
        <f>IF($B175="","",K175/(POWER(1+'Qredits maandlasten'!$C$8,$B175-1+1)))</f>
        <v/>
      </c>
      <c r="W175" s="127"/>
    </row>
    <row r="176" spans="1:23" s="132" customFormat="1" x14ac:dyDescent="0.2">
      <c r="A176" s="123"/>
      <c r="B176" s="124" t="str">
        <f>IF($B175="","",IF($B175+1&gt;'Qredits maandlasten'!$C$4,"",Schema!B175+1))</f>
        <v/>
      </c>
      <c r="C176" s="125" t="str">
        <f>IF($B175="","",IF($B175+1&gt;'Qredits maandlasten'!$C$4,"",EOMONTH(C175,0)+1))</f>
        <v/>
      </c>
      <c r="D176" s="123"/>
      <c r="E176" s="125" t="str">
        <f>IF($B175="","",IF($B175+1&gt;'Qredits maandlasten'!$C$4,"",F175+1))</f>
        <v/>
      </c>
      <c r="F176" s="125" t="str">
        <f>IF($B175="","",IF($B175+1&gt;'Qredits maandlasten'!$C$4,"",EOMONTH(E176,0)))</f>
        <v/>
      </c>
      <c r="G176" s="126" t="str">
        <f>IF($B175="","",IF($B175+1&gt;'Qredits maandlasten'!$C$4,"",(_xlfn.DAYS(F176,E176)+1)/DAY(F176)))</f>
        <v/>
      </c>
      <c r="H176" s="127"/>
      <c r="I176" s="128" t="str">
        <f>IF($B175="","",IF($B175+1&gt;'Qredits maandlasten'!$C$4,"",I175-J175))</f>
        <v/>
      </c>
      <c r="J176" s="128" t="str">
        <f>IF($B175="","",IF($B175+1&gt;'Qredits maandlasten'!$C$4,"",IF(B175&lt;'Qredits maandlasten'!$C$11-1,0,IF('Qredits maandlasten'!$C$10=dropdowns!$A$121,'Qredits maandlasten'!$J$3,IF('Qredits maandlasten'!$C$10=dropdowns!$A$120,IFERROR('Qredits maandlasten'!$J$3-K176,0),0)))))</f>
        <v/>
      </c>
      <c r="K176" s="128" t="str">
        <f>IF($B175="","",IF($B175+1&gt;'Qredits maandlasten'!$C$4,"",G176*I176*'Qredits maandlasten'!$C$8))</f>
        <v/>
      </c>
      <c r="L176" s="128" t="str">
        <f t="shared" si="12"/>
        <v/>
      </c>
      <c r="M176" s="128" t="str">
        <f t="shared" si="10"/>
        <v/>
      </c>
      <c r="N176" s="127"/>
      <c r="O176" s="129" t="str">
        <f>IF($B176="","",'Qredits maandlasten'!$C$8)</f>
        <v/>
      </c>
      <c r="P176" s="129" t="str">
        <f>IF($B176="","",'Qredits maandlasten'!$C$8*(POWER(1+'Qredits maandlasten'!$C$8,$B176-1+1)))</f>
        <v/>
      </c>
      <c r="Q176" s="129" t="str">
        <f t="shared" si="13"/>
        <v/>
      </c>
      <c r="R176" s="127"/>
      <c r="S176" s="128" t="str">
        <f t="shared" si="11"/>
        <v/>
      </c>
      <c r="T176" s="128" t="str">
        <f>IF(S176="","",J176/(POWER(1+'Qredits maandlasten'!$C$8,$B176-1+1)))</f>
        <v/>
      </c>
      <c r="U176" s="130" t="str">
        <f t="shared" si="14"/>
        <v/>
      </c>
      <c r="V176" s="128" t="str">
        <f>IF($B176="","",K176/(POWER(1+'Qredits maandlasten'!$C$8,$B176-1+1)))</f>
        <v/>
      </c>
      <c r="W176" s="127"/>
    </row>
    <row r="177" spans="1:23" s="132" customFormat="1" x14ac:dyDescent="0.2">
      <c r="A177" s="123"/>
      <c r="B177" s="124" t="str">
        <f>IF($B176="","",IF($B176+1&gt;'Qredits maandlasten'!$C$4,"",Schema!B176+1))</f>
        <v/>
      </c>
      <c r="C177" s="125" t="str">
        <f>IF($B176="","",IF($B176+1&gt;'Qredits maandlasten'!$C$4,"",EOMONTH(C176,0)+1))</f>
        <v/>
      </c>
      <c r="D177" s="123"/>
      <c r="E177" s="125" t="str">
        <f>IF($B176="","",IF($B176+1&gt;'Qredits maandlasten'!$C$4,"",F176+1))</f>
        <v/>
      </c>
      <c r="F177" s="125" t="str">
        <f>IF($B176="","",IF($B176+1&gt;'Qredits maandlasten'!$C$4,"",EOMONTH(E177,0)))</f>
        <v/>
      </c>
      <c r="G177" s="126" t="str">
        <f>IF($B176="","",IF($B176+1&gt;'Qredits maandlasten'!$C$4,"",(_xlfn.DAYS(F177,E177)+1)/DAY(F177)))</f>
        <v/>
      </c>
      <c r="H177" s="127"/>
      <c r="I177" s="128" t="str">
        <f>IF($B176="","",IF($B176+1&gt;'Qredits maandlasten'!$C$4,"",I176-J176))</f>
        <v/>
      </c>
      <c r="J177" s="128" t="str">
        <f>IF($B176="","",IF($B176+1&gt;'Qredits maandlasten'!$C$4,"",IF(B176&lt;'Qredits maandlasten'!$C$11-1,0,IF('Qredits maandlasten'!$C$10=dropdowns!$A$121,'Qredits maandlasten'!$J$3,IF('Qredits maandlasten'!$C$10=dropdowns!$A$120,IFERROR('Qredits maandlasten'!$J$3-K177,0),0)))))</f>
        <v/>
      </c>
      <c r="K177" s="128" t="str">
        <f>IF($B176="","",IF($B176+1&gt;'Qredits maandlasten'!$C$4,"",G177*I177*'Qredits maandlasten'!$C$8))</f>
        <v/>
      </c>
      <c r="L177" s="128" t="str">
        <f t="shared" si="12"/>
        <v/>
      </c>
      <c r="M177" s="128" t="str">
        <f t="shared" si="10"/>
        <v/>
      </c>
      <c r="N177" s="127"/>
      <c r="O177" s="129" t="str">
        <f>IF($B177="","",'Qredits maandlasten'!$C$8)</f>
        <v/>
      </c>
      <c r="P177" s="129" t="str">
        <f>IF($B177="","",'Qredits maandlasten'!$C$8*(POWER(1+'Qredits maandlasten'!$C$8,$B177-1+1)))</f>
        <v/>
      </c>
      <c r="Q177" s="129" t="str">
        <f t="shared" si="13"/>
        <v/>
      </c>
      <c r="R177" s="127"/>
      <c r="S177" s="128" t="str">
        <f t="shared" si="11"/>
        <v/>
      </c>
      <c r="T177" s="128" t="str">
        <f>IF(S177="","",J177/(POWER(1+'Qredits maandlasten'!$C$8,$B177-1+1)))</f>
        <v/>
      </c>
      <c r="U177" s="130" t="str">
        <f t="shared" si="14"/>
        <v/>
      </c>
      <c r="V177" s="128" t="str">
        <f>IF($B177="","",K177/(POWER(1+'Qredits maandlasten'!$C$8,$B177-1+1)))</f>
        <v/>
      </c>
      <c r="W177" s="127"/>
    </row>
    <row r="178" spans="1:23" s="132" customFormat="1" x14ac:dyDescent="0.2">
      <c r="A178" s="123"/>
      <c r="B178" s="124" t="str">
        <f>IF($B177="","",IF($B177+1&gt;'Qredits maandlasten'!$C$4,"",Schema!B177+1))</f>
        <v/>
      </c>
      <c r="C178" s="125" t="str">
        <f>IF($B177="","",IF($B177+1&gt;'Qredits maandlasten'!$C$4,"",EOMONTH(C177,0)+1))</f>
        <v/>
      </c>
      <c r="D178" s="123"/>
      <c r="E178" s="125" t="str">
        <f>IF($B177="","",IF($B177+1&gt;'Qredits maandlasten'!$C$4,"",F177+1))</f>
        <v/>
      </c>
      <c r="F178" s="125" t="str">
        <f>IF($B177="","",IF($B177+1&gt;'Qredits maandlasten'!$C$4,"",EOMONTH(E178,0)))</f>
        <v/>
      </c>
      <c r="G178" s="126" t="str">
        <f>IF($B177="","",IF($B177+1&gt;'Qredits maandlasten'!$C$4,"",(_xlfn.DAYS(F178,E178)+1)/DAY(F178)))</f>
        <v/>
      </c>
      <c r="H178" s="127"/>
      <c r="I178" s="128" t="str">
        <f>IF($B177="","",IF($B177+1&gt;'Qredits maandlasten'!$C$4,"",I177-J177))</f>
        <v/>
      </c>
      <c r="J178" s="128" t="str">
        <f>IF($B177="","",IF($B177+1&gt;'Qredits maandlasten'!$C$4,"",IF(B177&lt;'Qredits maandlasten'!$C$11-1,0,IF('Qredits maandlasten'!$C$10=dropdowns!$A$121,'Qredits maandlasten'!$J$3,IF('Qredits maandlasten'!$C$10=dropdowns!$A$120,IFERROR('Qredits maandlasten'!$J$3-K178,0),0)))))</f>
        <v/>
      </c>
      <c r="K178" s="128" t="str">
        <f>IF($B177="","",IF($B177+1&gt;'Qredits maandlasten'!$C$4,"",G178*I178*'Qredits maandlasten'!$C$8))</f>
        <v/>
      </c>
      <c r="L178" s="128" t="str">
        <f t="shared" si="12"/>
        <v/>
      </c>
      <c r="M178" s="128" t="str">
        <f t="shared" si="10"/>
        <v/>
      </c>
      <c r="N178" s="127"/>
      <c r="O178" s="129" t="str">
        <f>IF($B178="","",'Qredits maandlasten'!$C$8)</f>
        <v/>
      </c>
      <c r="P178" s="129" t="str">
        <f>IF($B178="","",'Qredits maandlasten'!$C$8*(POWER(1+'Qredits maandlasten'!$C$8,$B178-1+1)))</f>
        <v/>
      </c>
      <c r="Q178" s="129" t="str">
        <f t="shared" si="13"/>
        <v/>
      </c>
      <c r="R178" s="127"/>
      <c r="S178" s="128" t="str">
        <f t="shared" si="11"/>
        <v/>
      </c>
      <c r="T178" s="128" t="str">
        <f>IF(S178="","",J178/(POWER(1+'Qredits maandlasten'!$C$8,$B178-1+1)))</f>
        <v/>
      </c>
      <c r="U178" s="130" t="str">
        <f t="shared" si="14"/>
        <v/>
      </c>
      <c r="V178" s="128" t="str">
        <f>IF($B178="","",K178/(POWER(1+'Qredits maandlasten'!$C$8,$B178-1+1)))</f>
        <v/>
      </c>
      <c r="W178" s="127"/>
    </row>
    <row r="179" spans="1:23" s="132" customFormat="1" x14ac:dyDescent="0.2">
      <c r="A179" s="123"/>
      <c r="B179" s="124" t="str">
        <f>IF($B178="","",IF($B178+1&gt;'Qredits maandlasten'!$C$4,"",Schema!B178+1))</f>
        <v/>
      </c>
      <c r="C179" s="125" t="str">
        <f>IF($B178="","",IF($B178+1&gt;'Qredits maandlasten'!$C$4,"",EOMONTH(C178,0)+1))</f>
        <v/>
      </c>
      <c r="D179" s="123"/>
      <c r="E179" s="125" t="str">
        <f>IF($B178="","",IF($B178+1&gt;'Qredits maandlasten'!$C$4,"",F178+1))</f>
        <v/>
      </c>
      <c r="F179" s="125" t="str">
        <f>IF($B178="","",IF($B178+1&gt;'Qredits maandlasten'!$C$4,"",EOMONTH(E179,0)))</f>
        <v/>
      </c>
      <c r="G179" s="126" t="str">
        <f>IF($B178="","",IF($B178+1&gt;'Qredits maandlasten'!$C$4,"",(_xlfn.DAYS(F179,E179)+1)/DAY(F179)))</f>
        <v/>
      </c>
      <c r="H179" s="127"/>
      <c r="I179" s="128" t="str">
        <f>IF($B178="","",IF($B178+1&gt;'Qredits maandlasten'!$C$4,"",I178-J178))</f>
        <v/>
      </c>
      <c r="J179" s="128" t="str">
        <f>IF($B178="","",IF($B178+1&gt;'Qredits maandlasten'!$C$4,"",IF(B178&lt;'Qredits maandlasten'!$C$11-1,0,IF('Qredits maandlasten'!$C$10=dropdowns!$A$121,'Qredits maandlasten'!$J$3,IF('Qredits maandlasten'!$C$10=dropdowns!$A$120,IFERROR('Qredits maandlasten'!$J$3-K179,0),0)))))</f>
        <v/>
      </c>
      <c r="K179" s="128" t="str">
        <f>IF($B178="","",IF($B178+1&gt;'Qredits maandlasten'!$C$4,"",G179*I179*'Qredits maandlasten'!$C$8))</f>
        <v/>
      </c>
      <c r="L179" s="128" t="str">
        <f t="shared" si="12"/>
        <v/>
      </c>
      <c r="M179" s="128" t="str">
        <f t="shared" si="10"/>
        <v/>
      </c>
      <c r="N179" s="127"/>
      <c r="O179" s="129" t="str">
        <f>IF($B179="","",'Qredits maandlasten'!$C$8)</f>
        <v/>
      </c>
      <c r="P179" s="129" t="str">
        <f>IF($B179="","",'Qredits maandlasten'!$C$8*(POWER(1+'Qredits maandlasten'!$C$8,$B179-1+1)))</f>
        <v/>
      </c>
      <c r="Q179" s="129" t="str">
        <f t="shared" si="13"/>
        <v/>
      </c>
      <c r="R179" s="127"/>
      <c r="S179" s="128" t="str">
        <f t="shared" si="11"/>
        <v/>
      </c>
      <c r="T179" s="128" t="str">
        <f>IF(S179="","",J179/(POWER(1+'Qredits maandlasten'!$C$8,$B179-1+1)))</f>
        <v/>
      </c>
      <c r="U179" s="130" t="str">
        <f t="shared" si="14"/>
        <v/>
      </c>
      <c r="V179" s="128" t="str">
        <f>IF($B179="","",K179/(POWER(1+'Qredits maandlasten'!$C$8,$B179-1+1)))</f>
        <v/>
      </c>
      <c r="W179" s="127"/>
    </row>
    <row r="180" spans="1:23" s="132" customFormat="1" x14ac:dyDescent="0.2">
      <c r="A180" s="123"/>
      <c r="B180" s="124" t="str">
        <f>IF($B179="","",IF($B179+1&gt;'Qredits maandlasten'!$C$4,"",Schema!B179+1))</f>
        <v/>
      </c>
      <c r="C180" s="125" t="str">
        <f>IF($B179="","",IF($B179+1&gt;'Qredits maandlasten'!$C$4,"",EOMONTH(C179,0)+1))</f>
        <v/>
      </c>
      <c r="D180" s="123"/>
      <c r="E180" s="125" t="str">
        <f>IF($B179="","",IF($B179+1&gt;'Qredits maandlasten'!$C$4,"",F179+1))</f>
        <v/>
      </c>
      <c r="F180" s="125" t="str">
        <f>IF($B179="","",IF($B179+1&gt;'Qredits maandlasten'!$C$4,"",EOMONTH(E180,0)))</f>
        <v/>
      </c>
      <c r="G180" s="126" t="str">
        <f>IF($B179="","",IF($B179+1&gt;'Qredits maandlasten'!$C$4,"",(_xlfn.DAYS(F180,E180)+1)/DAY(F180)))</f>
        <v/>
      </c>
      <c r="H180" s="127"/>
      <c r="I180" s="128" t="str">
        <f>IF($B179="","",IF($B179+1&gt;'Qredits maandlasten'!$C$4,"",I179-J179))</f>
        <v/>
      </c>
      <c r="J180" s="128" t="str">
        <f>IF($B179="","",IF($B179+1&gt;'Qredits maandlasten'!$C$4,"",IF(B179&lt;'Qredits maandlasten'!$C$11-1,0,IF('Qredits maandlasten'!$C$10=dropdowns!$A$121,'Qredits maandlasten'!$J$3,IF('Qredits maandlasten'!$C$10=dropdowns!$A$120,IFERROR('Qredits maandlasten'!$J$3-K180,0),0)))))</f>
        <v/>
      </c>
      <c r="K180" s="128" t="str">
        <f>IF($B179="","",IF($B179+1&gt;'Qredits maandlasten'!$C$4,"",G180*I180*'Qredits maandlasten'!$C$8))</f>
        <v/>
      </c>
      <c r="L180" s="128" t="str">
        <f t="shared" si="12"/>
        <v/>
      </c>
      <c r="M180" s="128" t="str">
        <f t="shared" si="10"/>
        <v/>
      </c>
      <c r="N180" s="127"/>
      <c r="O180" s="129" t="str">
        <f>IF($B180="","",'Qredits maandlasten'!$C$8)</f>
        <v/>
      </c>
      <c r="P180" s="129" t="str">
        <f>IF($B180="","",'Qredits maandlasten'!$C$8*(POWER(1+'Qredits maandlasten'!$C$8,$B180-1+1)))</f>
        <v/>
      </c>
      <c r="Q180" s="129" t="str">
        <f t="shared" si="13"/>
        <v/>
      </c>
      <c r="R180" s="127"/>
      <c r="S180" s="128" t="str">
        <f t="shared" si="11"/>
        <v/>
      </c>
      <c r="T180" s="128" t="str">
        <f>IF(S180="","",J180/(POWER(1+'Qredits maandlasten'!$C$8,$B180-1+1)))</f>
        <v/>
      </c>
      <c r="U180" s="130" t="str">
        <f t="shared" si="14"/>
        <v/>
      </c>
      <c r="V180" s="128" t="str">
        <f>IF($B180="","",K180/(POWER(1+'Qredits maandlasten'!$C$8,$B180-1+1)))</f>
        <v/>
      </c>
      <c r="W180" s="127"/>
    </row>
    <row r="181" spans="1:23" s="132" customFormat="1" x14ac:dyDescent="0.2">
      <c r="A181" s="123"/>
      <c r="B181" s="124" t="str">
        <f>IF($B180="","",IF($B180+1&gt;'Qredits maandlasten'!$C$4,"",Schema!B180+1))</f>
        <v/>
      </c>
      <c r="C181" s="125" t="str">
        <f>IF($B180="","",IF($B180+1&gt;'Qredits maandlasten'!$C$4,"",EOMONTH(C180,0)+1))</f>
        <v/>
      </c>
      <c r="D181" s="123"/>
      <c r="E181" s="125" t="str">
        <f>IF($B180="","",IF($B180+1&gt;'Qredits maandlasten'!$C$4,"",F180+1))</f>
        <v/>
      </c>
      <c r="F181" s="125" t="str">
        <f>IF($B180="","",IF($B180+1&gt;'Qredits maandlasten'!$C$4,"",EOMONTH(E181,0)))</f>
        <v/>
      </c>
      <c r="G181" s="126" t="str">
        <f>IF($B180="","",IF($B180+1&gt;'Qredits maandlasten'!$C$4,"",(_xlfn.DAYS(F181,E181)+1)/DAY(F181)))</f>
        <v/>
      </c>
      <c r="H181" s="127"/>
      <c r="I181" s="128" t="str">
        <f>IF($B180="","",IF($B180+1&gt;'Qredits maandlasten'!$C$4,"",I180-J180))</f>
        <v/>
      </c>
      <c r="J181" s="128" t="str">
        <f>IF($B180="","",IF($B180+1&gt;'Qredits maandlasten'!$C$4,"",IF(B180&lt;'Qredits maandlasten'!$C$11-1,0,IF('Qredits maandlasten'!$C$10=dropdowns!$A$121,'Qredits maandlasten'!$J$3,IF('Qredits maandlasten'!$C$10=dropdowns!$A$120,IFERROR('Qredits maandlasten'!$J$3-K181,0),0)))))</f>
        <v/>
      </c>
      <c r="K181" s="128" t="str">
        <f>IF($B180="","",IF($B180+1&gt;'Qredits maandlasten'!$C$4,"",G181*I181*'Qredits maandlasten'!$C$8))</f>
        <v/>
      </c>
      <c r="L181" s="128" t="str">
        <f t="shared" si="12"/>
        <v/>
      </c>
      <c r="M181" s="128" t="str">
        <f t="shared" si="10"/>
        <v/>
      </c>
      <c r="N181" s="127"/>
      <c r="O181" s="129" t="str">
        <f>IF($B181="","",'Qredits maandlasten'!$C$8)</f>
        <v/>
      </c>
      <c r="P181" s="129" t="str">
        <f>IF($B181="","",'Qredits maandlasten'!$C$8*(POWER(1+'Qredits maandlasten'!$C$8,$B181-1+1)))</f>
        <v/>
      </c>
      <c r="Q181" s="129" t="str">
        <f t="shared" si="13"/>
        <v/>
      </c>
      <c r="R181" s="127"/>
      <c r="S181" s="128" t="str">
        <f t="shared" si="11"/>
        <v/>
      </c>
      <c r="T181" s="128" t="str">
        <f>IF(S181="","",J181/(POWER(1+'Qredits maandlasten'!$C$8,$B181-1+1)))</f>
        <v/>
      </c>
      <c r="U181" s="130" t="str">
        <f t="shared" si="14"/>
        <v/>
      </c>
      <c r="V181" s="128" t="str">
        <f>IF($B181="","",K181/(POWER(1+'Qredits maandlasten'!$C$8,$B181-1+1)))</f>
        <v/>
      </c>
      <c r="W181" s="127"/>
    </row>
    <row r="182" spans="1:23" s="132" customFormat="1" x14ac:dyDescent="0.2">
      <c r="A182" s="123"/>
      <c r="B182" s="124" t="str">
        <f>IF($B181="","",IF($B181+1&gt;'Qredits maandlasten'!$C$4,"",Schema!B181+1))</f>
        <v/>
      </c>
      <c r="C182" s="125" t="str">
        <f>IF($B181="","",IF($B181+1&gt;'Qredits maandlasten'!$C$4,"",EOMONTH(C181,0)+1))</f>
        <v/>
      </c>
      <c r="D182" s="123"/>
      <c r="E182" s="125" t="str">
        <f>IF($B181="","",IF($B181+1&gt;'Qredits maandlasten'!$C$4,"",F181+1))</f>
        <v/>
      </c>
      <c r="F182" s="125" t="str">
        <f>IF($B181="","",IF($B181+1&gt;'Qredits maandlasten'!$C$4,"",EOMONTH(E182,0)))</f>
        <v/>
      </c>
      <c r="G182" s="126" t="str">
        <f>IF($B181="","",IF($B181+1&gt;'Qredits maandlasten'!$C$4,"",(_xlfn.DAYS(F182,E182)+1)/DAY(F182)))</f>
        <v/>
      </c>
      <c r="H182" s="127"/>
      <c r="I182" s="128" t="str">
        <f>IF($B181="","",IF($B181+1&gt;'Qredits maandlasten'!$C$4,"",I181-J181))</f>
        <v/>
      </c>
      <c r="J182" s="128" t="str">
        <f>IF($B181="","",IF($B181+1&gt;'Qredits maandlasten'!$C$4,"",IF(B181&lt;'Qredits maandlasten'!$C$11-1,0,IF('Qredits maandlasten'!$C$10=dropdowns!$A$121,'Qredits maandlasten'!$J$3,IF('Qredits maandlasten'!$C$10=dropdowns!$A$120,IFERROR('Qredits maandlasten'!$J$3-K182,0),0)))))</f>
        <v/>
      </c>
      <c r="K182" s="128" t="str">
        <f>IF($B181="","",IF($B181+1&gt;'Qredits maandlasten'!$C$4,"",G182*I182*'Qredits maandlasten'!$C$8))</f>
        <v/>
      </c>
      <c r="L182" s="128" t="str">
        <f t="shared" si="12"/>
        <v/>
      </c>
      <c r="M182" s="128" t="str">
        <f t="shared" si="10"/>
        <v/>
      </c>
      <c r="N182" s="127"/>
      <c r="O182" s="129" t="str">
        <f>IF($B182="","",'Qredits maandlasten'!$C$8)</f>
        <v/>
      </c>
      <c r="P182" s="129" t="str">
        <f>IF($B182="","",'Qredits maandlasten'!$C$8*(POWER(1+'Qredits maandlasten'!$C$8,$B182-1+1)))</f>
        <v/>
      </c>
      <c r="Q182" s="129" t="str">
        <f t="shared" si="13"/>
        <v/>
      </c>
      <c r="R182" s="127"/>
      <c r="S182" s="128" t="str">
        <f t="shared" si="11"/>
        <v/>
      </c>
      <c r="T182" s="128" t="str">
        <f>IF(S182="","",J182/(POWER(1+'Qredits maandlasten'!$C$8,$B182-1+1)))</f>
        <v/>
      </c>
      <c r="U182" s="130" t="str">
        <f t="shared" si="14"/>
        <v/>
      </c>
      <c r="V182" s="128" t="str">
        <f>IF($B182="","",K182/(POWER(1+'Qredits maandlasten'!$C$8,$B182-1+1)))</f>
        <v/>
      </c>
      <c r="W182" s="127"/>
    </row>
    <row r="183" spans="1:23" s="132" customFormat="1" x14ac:dyDescent="0.2">
      <c r="A183" s="123"/>
      <c r="B183" s="124" t="str">
        <f>IF($B182="","",IF($B182+1&gt;'Qredits maandlasten'!$C$4,"",Schema!B182+1))</f>
        <v/>
      </c>
      <c r="C183" s="125" t="str">
        <f>IF($B182="","",IF($B182+1&gt;'Qredits maandlasten'!$C$4,"",EOMONTH(C182,0)+1))</f>
        <v/>
      </c>
      <c r="D183" s="123"/>
      <c r="E183" s="125" t="str">
        <f>IF($B182="","",IF($B182+1&gt;'Qredits maandlasten'!$C$4,"",F182+1))</f>
        <v/>
      </c>
      <c r="F183" s="125" t="str">
        <f>IF($B182="","",IF($B182+1&gt;'Qredits maandlasten'!$C$4,"",EOMONTH(E183,0)))</f>
        <v/>
      </c>
      <c r="G183" s="126" t="str">
        <f>IF($B182="","",IF($B182+1&gt;'Qredits maandlasten'!$C$4,"",(_xlfn.DAYS(F183,E183)+1)/DAY(F183)))</f>
        <v/>
      </c>
      <c r="H183" s="127"/>
      <c r="I183" s="128" t="str">
        <f>IF($B182="","",IF($B182+1&gt;'Qredits maandlasten'!$C$4,"",I182-J182))</f>
        <v/>
      </c>
      <c r="J183" s="128" t="str">
        <f>IF($B182="","",IF($B182+1&gt;'Qredits maandlasten'!$C$4,"",IF(B182&lt;'Qredits maandlasten'!$C$11-1,0,IF('Qredits maandlasten'!$C$10=dropdowns!$A$121,'Qredits maandlasten'!$J$3,IF('Qredits maandlasten'!$C$10=dropdowns!$A$120,IFERROR('Qredits maandlasten'!$J$3-K183,0),0)))))</f>
        <v/>
      </c>
      <c r="K183" s="128" t="str">
        <f>IF($B182="","",IF($B182+1&gt;'Qredits maandlasten'!$C$4,"",G183*I183*'Qredits maandlasten'!$C$8))</f>
        <v/>
      </c>
      <c r="L183" s="128" t="str">
        <f t="shared" si="12"/>
        <v/>
      </c>
      <c r="M183" s="128" t="str">
        <f t="shared" si="10"/>
        <v/>
      </c>
      <c r="N183" s="127"/>
      <c r="O183" s="129" t="str">
        <f>IF($B183="","",'Qredits maandlasten'!$C$8)</f>
        <v/>
      </c>
      <c r="P183" s="129" t="str">
        <f>IF($B183="","",'Qredits maandlasten'!$C$8*(POWER(1+'Qredits maandlasten'!$C$8,$B183-1+1)))</f>
        <v/>
      </c>
      <c r="Q183" s="129" t="str">
        <f t="shared" si="13"/>
        <v/>
      </c>
      <c r="R183" s="127"/>
      <c r="S183" s="128" t="str">
        <f t="shared" si="11"/>
        <v/>
      </c>
      <c r="T183" s="128" t="str">
        <f>IF(S183="","",J183/(POWER(1+'Qredits maandlasten'!$C$8,$B183-1+1)))</f>
        <v/>
      </c>
      <c r="U183" s="130" t="str">
        <f t="shared" si="14"/>
        <v/>
      </c>
      <c r="V183" s="128" t="str">
        <f>IF($B183="","",K183/(POWER(1+'Qredits maandlasten'!$C$8,$B183-1+1)))</f>
        <v/>
      </c>
      <c r="W183" s="127"/>
    </row>
    <row r="184" spans="1:23" s="132" customFormat="1" x14ac:dyDescent="0.2">
      <c r="A184" s="123"/>
      <c r="B184" s="124" t="str">
        <f>IF($B183="","",IF($B183+1&gt;'Qredits maandlasten'!$C$4,"",Schema!B183+1))</f>
        <v/>
      </c>
      <c r="C184" s="125" t="str">
        <f>IF($B183="","",IF($B183+1&gt;'Qredits maandlasten'!$C$4,"",EOMONTH(C183,0)+1))</f>
        <v/>
      </c>
      <c r="D184" s="123"/>
      <c r="E184" s="125" t="str">
        <f>IF($B183="","",IF($B183+1&gt;'Qredits maandlasten'!$C$4,"",F183+1))</f>
        <v/>
      </c>
      <c r="F184" s="125" t="str">
        <f>IF($B183="","",IF($B183+1&gt;'Qredits maandlasten'!$C$4,"",EOMONTH(E184,0)))</f>
        <v/>
      </c>
      <c r="G184" s="126" t="str">
        <f>IF($B183="","",IF($B183+1&gt;'Qredits maandlasten'!$C$4,"",(_xlfn.DAYS(F184,E184)+1)/DAY(F184)))</f>
        <v/>
      </c>
      <c r="H184" s="127"/>
      <c r="I184" s="128" t="str">
        <f>IF($B183="","",IF($B183+1&gt;'Qredits maandlasten'!$C$4,"",I183-J183))</f>
        <v/>
      </c>
      <c r="J184" s="128" t="str">
        <f>IF($B183="","",IF($B183+1&gt;'Qredits maandlasten'!$C$4,"",IF(B183&lt;'Qredits maandlasten'!$C$11-1,0,IF('Qredits maandlasten'!$C$10=dropdowns!$A$121,'Qredits maandlasten'!$J$3,IF('Qredits maandlasten'!$C$10=dropdowns!$A$120,IFERROR('Qredits maandlasten'!$J$3-K184,0),0)))))</f>
        <v/>
      </c>
      <c r="K184" s="128" t="str">
        <f>IF($B183="","",IF($B183+1&gt;'Qredits maandlasten'!$C$4,"",G184*I184*'Qredits maandlasten'!$C$8))</f>
        <v/>
      </c>
      <c r="L184" s="128" t="str">
        <f t="shared" si="12"/>
        <v/>
      </c>
      <c r="M184" s="128" t="str">
        <f t="shared" si="10"/>
        <v/>
      </c>
      <c r="N184" s="127"/>
      <c r="O184" s="129" t="str">
        <f>IF($B184="","",'Qredits maandlasten'!$C$8)</f>
        <v/>
      </c>
      <c r="P184" s="129" t="str">
        <f>IF($B184="","",'Qredits maandlasten'!$C$8*(POWER(1+'Qredits maandlasten'!$C$8,$B184-1+1)))</f>
        <v/>
      </c>
      <c r="Q184" s="129" t="str">
        <f t="shared" si="13"/>
        <v/>
      </c>
      <c r="R184" s="127"/>
      <c r="S184" s="128" t="str">
        <f t="shared" si="11"/>
        <v/>
      </c>
      <c r="T184" s="128" t="str">
        <f>IF(S184="","",J184/(POWER(1+'Qredits maandlasten'!$C$8,$B184-1+1)))</f>
        <v/>
      </c>
      <c r="U184" s="130" t="str">
        <f t="shared" si="14"/>
        <v/>
      </c>
      <c r="V184" s="128" t="str">
        <f>IF($B184="","",K184/(POWER(1+'Qredits maandlasten'!$C$8,$B184-1+1)))</f>
        <v/>
      </c>
      <c r="W184" s="127"/>
    </row>
    <row r="185" spans="1:23" s="132" customFormat="1" x14ac:dyDescent="0.2">
      <c r="A185" s="123"/>
      <c r="B185" s="124" t="str">
        <f>IF($B184="","",IF($B184+1&gt;'Qredits maandlasten'!$C$4,"",Schema!B184+1))</f>
        <v/>
      </c>
      <c r="C185" s="125" t="str">
        <f>IF($B184="","",IF($B184+1&gt;'Qredits maandlasten'!$C$4,"",EOMONTH(C184,0)+1))</f>
        <v/>
      </c>
      <c r="D185" s="123"/>
      <c r="E185" s="125" t="str">
        <f>IF($B184="","",IF($B184+1&gt;'Qredits maandlasten'!$C$4,"",F184+1))</f>
        <v/>
      </c>
      <c r="F185" s="125" t="str">
        <f>IF($B184="","",IF($B184+1&gt;'Qredits maandlasten'!$C$4,"",EOMONTH(E185,0)))</f>
        <v/>
      </c>
      <c r="G185" s="126" t="str">
        <f>IF($B184="","",IF($B184+1&gt;'Qredits maandlasten'!$C$4,"",(_xlfn.DAYS(F185,E185)+1)/DAY(F185)))</f>
        <v/>
      </c>
      <c r="H185" s="127"/>
      <c r="I185" s="128" t="str">
        <f>IF($B184="","",IF($B184+1&gt;'Qredits maandlasten'!$C$4,"",I184-J184))</f>
        <v/>
      </c>
      <c r="J185" s="128" t="str">
        <f>IF($B184="","",IF($B184+1&gt;'Qredits maandlasten'!$C$4,"",IF(B184&lt;'Qredits maandlasten'!$C$11-1,0,IF('Qredits maandlasten'!$C$10=dropdowns!$A$121,'Qredits maandlasten'!$J$3,IF('Qredits maandlasten'!$C$10=dropdowns!$A$120,IFERROR('Qredits maandlasten'!$J$3-K185,0),0)))))</f>
        <v/>
      </c>
      <c r="K185" s="128" t="str">
        <f>IF($B184="","",IF($B184+1&gt;'Qredits maandlasten'!$C$4,"",G185*I185*'Qredits maandlasten'!$C$8))</f>
        <v/>
      </c>
      <c r="L185" s="128" t="str">
        <f t="shared" si="12"/>
        <v/>
      </c>
      <c r="M185" s="128" t="str">
        <f t="shared" si="10"/>
        <v/>
      </c>
      <c r="N185" s="127"/>
      <c r="O185" s="129" t="str">
        <f>IF($B185="","",'Qredits maandlasten'!$C$8)</f>
        <v/>
      </c>
      <c r="P185" s="129" t="str">
        <f>IF($B185="","",'Qredits maandlasten'!$C$8*(POWER(1+'Qredits maandlasten'!$C$8,$B185-1+1)))</f>
        <v/>
      </c>
      <c r="Q185" s="129" t="str">
        <f t="shared" si="13"/>
        <v/>
      </c>
      <c r="R185" s="127"/>
      <c r="S185" s="128" t="str">
        <f t="shared" si="11"/>
        <v/>
      </c>
      <c r="T185" s="128" t="str">
        <f>IF(S185="","",J185/(POWER(1+'Qredits maandlasten'!$C$8,$B185-1+1)))</f>
        <v/>
      </c>
      <c r="U185" s="130" t="str">
        <f t="shared" si="14"/>
        <v/>
      </c>
      <c r="V185" s="128" t="str">
        <f>IF($B185="","",K185/(POWER(1+'Qredits maandlasten'!$C$8,$B185-1+1)))</f>
        <v/>
      </c>
      <c r="W185" s="127"/>
    </row>
    <row r="186" spans="1:23" s="132" customFormat="1" x14ac:dyDescent="0.2">
      <c r="A186" s="123"/>
      <c r="B186" s="124" t="str">
        <f>IF($B185="","",IF($B185+1&gt;'Qredits maandlasten'!$C$4,"",Schema!B185+1))</f>
        <v/>
      </c>
      <c r="C186" s="125" t="str">
        <f>IF($B185="","",IF($B185+1&gt;'Qredits maandlasten'!$C$4,"",EOMONTH(C185,0)+1))</f>
        <v/>
      </c>
      <c r="D186" s="123"/>
      <c r="E186" s="125" t="str">
        <f>IF($B185="","",IF($B185+1&gt;'Qredits maandlasten'!$C$4,"",F185+1))</f>
        <v/>
      </c>
      <c r="F186" s="125" t="str">
        <f>IF($B185="","",IF($B185+1&gt;'Qredits maandlasten'!$C$4,"",EOMONTH(E186,0)))</f>
        <v/>
      </c>
      <c r="G186" s="126" t="str">
        <f>IF($B185="","",IF($B185+1&gt;'Qredits maandlasten'!$C$4,"",(_xlfn.DAYS(F186,E186)+1)/DAY(F186)))</f>
        <v/>
      </c>
      <c r="H186" s="127"/>
      <c r="I186" s="128" t="str">
        <f>IF($B185="","",IF($B185+1&gt;'Qredits maandlasten'!$C$4,"",I185-J185))</f>
        <v/>
      </c>
      <c r="J186" s="128" t="str">
        <f>IF($B185="","",IF($B185+1&gt;'Qredits maandlasten'!$C$4,"",IF(B185&lt;'Qredits maandlasten'!$C$11-1,0,IF('Qredits maandlasten'!$C$10=dropdowns!$A$121,'Qredits maandlasten'!$J$3,IF('Qredits maandlasten'!$C$10=dropdowns!$A$120,IFERROR('Qredits maandlasten'!$J$3-K186,0),0)))))</f>
        <v/>
      </c>
      <c r="K186" s="128" t="str">
        <f>IF($B185="","",IF($B185+1&gt;'Qredits maandlasten'!$C$4,"",G186*I186*'Qredits maandlasten'!$C$8))</f>
        <v/>
      </c>
      <c r="L186" s="128" t="str">
        <f t="shared" si="12"/>
        <v/>
      </c>
      <c r="M186" s="128" t="str">
        <f t="shared" si="10"/>
        <v/>
      </c>
      <c r="N186" s="127"/>
      <c r="O186" s="129" t="str">
        <f>IF($B186="","",'Qredits maandlasten'!$C$8)</f>
        <v/>
      </c>
      <c r="P186" s="129" t="str">
        <f>IF($B186="","",'Qredits maandlasten'!$C$8*(POWER(1+'Qredits maandlasten'!$C$8,$B186-1+1)))</f>
        <v/>
      </c>
      <c r="Q186" s="129" t="str">
        <f t="shared" si="13"/>
        <v/>
      </c>
      <c r="R186" s="127"/>
      <c r="S186" s="128" t="str">
        <f t="shared" si="11"/>
        <v/>
      </c>
      <c r="T186" s="128" t="str">
        <f>IF(S186="","",J186/(POWER(1+'Qredits maandlasten'!$C$8,$B186-1+1)))</f>
        <v/>
      </c>
      <c r="U186" s="130" t="str">
        <f t="shared" si="14"/>
        <v/>
      </c>
      <c r="V186" s="128" t="str">
        <f>IF($B186="","",K186/(POWER(1+'Qredits maandlasten'!$C$8,$B186-1+1)))</f>
        <v/>
      </c>
      <c r="W186" s="127"/>
    </row>
    <row r="187" spans="1:23" s="132" customFormat="1" x14ac:dyDescent="0.2">
      <c r="A187" s="123"/>
      <c r="B187" s="124" t="str">
        <f>IF($B186="","",IF($B186+1&gt;'Qredits maandlasten'!$C$4,"",Schema!B186+1))</f>
        <v/>
      </c>
      <c r="C187" s="125" t="str">
        <f>IF($B186="","",IF($B186+1&gt;'Qredits maandlasten'!$C$4,"",EOMONTH(C186,0)+1))</f>
        <v/>
      </c>
      <c r="D187" s="123"/>
      <c r="E187" s="125" t="str">
        <f>IF($B186="","",IF($B186+1&gt;'Qredits maandlasten'!$C$4,"",F186+1))</f>
        <v/>
      </c>
      <c r="F187" s="125" t="str">
        <f>IF($B186="","",IF($B186+1&gt;'Qredits maandlasten'!$C$4,"",EOMONTH(E187,0)))</f>
        <v/>
      </c>
      <c r="G187" s="126" t="str">
        <f>IF($B186="","",IF($B186+1&gt;'Qredits maandlasten'!$C$4,"",(_xlfn.DAYS(F187,E187)+1)/DAY(F187)))</f>
        <v/>
      </c>
      <c r="H187" s="127"/>
      <c r="I187" s="128" t="str">
        <f>IF($B186="","",IF($B186+1&gt;'Qredits maandlasten'!$C$4,"",I186-J186))</f>
        <v/>
      </c>
      <c r="J187" s="128" t="str">
        <f>IF($B186="","",IF($B186+1&gt;'Qredits maandlasten'!$C$4,"",IF(B186&lt;'Qredits maandlasten'!$C$11-1,0,IF('Qredits maandlasten'!$C$10=dropdowns!$A$121,'Qredits maandlasten'!$J$3,IF('Qredits maandlasten'!$C$10=dropdowns!$A$120,IFERROR('Qredits maandlasten'!$J$3-K187,0),0)))))</f>
        <v/>
      </c>
      <c r="K187" s="128" t="str">
        <f>IF($B186="","",IF($B186+1&gt;'Qredits maandlasten'!$C$4,"",G187*I187*'Qredits maandlasten'!$C$8))</f>
        <v/>
      </c>
      <c r="L187" s="128" t="str">
        <f t="shared" si="12"/>
        <v/>
      </c>
      <c r="M187" s="128" t="str">
        <f t="shared" si="10"/>
        <v/>
      </c>
      <c r="N187" s="127"/>
      <c r="O187" s="129" t="str">
        <f>IF($B187="","",'Qredits maandlasten'!$C$8)</f>
        <v/>
      </c>
      <c r="P187" s="129" t="str">
        <f>IF($B187="","",'Qredits maandlasten'!$C$8*(POWER(1+'Qredits maandlasten'!$C$8,$B187-1+1)))</f>
        <v/>
      </c>
      <c r="Q187" s="129" t="str">
        <f t="shared" si="13"/>
        <v/>
      </c>
      <c r="R187" s="127"/>
      <c r="S187" s="128" t="str">
        <f t="shared" si="11"/>
        <v/>
      </c>
      <c r="T187" s="128" t="str">
        <f>IF(S187="","",J187/(POWER(1+'Qredits maandlasten'!$C$8,$B187-1+1)))</f>
        <v/>
      </c>
      <c r="U187" s="130" t="str">
        <f t="shared" si="14"/>
        <v/>
      </c>
      <c r="V187" s="128" t="str">
        <f>IF($B187="","",K187/(POWER(1+'Qredits maandlasten'!$C$8,$B187-1+1)))</f>
        <v/>
      </c>
      <c r="W187" s="127"/>
    </row>
    <row r="188" spans="1:23" s="132" customFormat="1" x14ac:dyDescent="0.2">
      <c r="A188" s="123"/>
      <c r="B188" s="124" t="str">
        <f>IF($B187="","",IF($B187+1&gt;'Qredits maandlasten'!$C$4,"",Schema!B187+1))</f>
        <v/>
      </c>
      <c r="C188" s="125" t="str">
        <f>IF($B187="","",IF($B187+1&gt;'Qredits maandlasten'!$C$4,"",EOMONTH(C187,0)+1))</f>
        <v/>
      </c>
      <c r="D188" s="123"/>
      <c r="E188" s="125" t="str">
        <f>IF($B187="","",IF($B187+1&gt;'Qredits maandlasten'!$C$4,"",F187+1))</f>
        <v/>
      </c>
      <c r="F188" s="125" t="str">
        <f>IF($B187="","",IF($B187+1&gt;'Qredits maandlasten'!$C$4,"",EOMONTH(E188,0)))</f>
        <v/>
      </c>
      <c r="G188" s="126" t="str">
        <f>IF($B187="","",IF($B187+1&gt;'Qredits maandlasten'!$C$4,"",(_xlfn.DAYS(F188,E188)+1)/DAY(F188)))</f>
        <v/>
      </c>
      <c r="H188" s="127"/>
      <c r="I188" s="128" t="str">
        <f>IF($B187="","",IF($B187+1&gt;'Qredits maandlasten'!$C$4,"",I187-J187))</f>
        <v/>
      </c>
      <c r="J188" s="128" t="str">
        <f>IF($B187="","",IF($B187+1&gt;'Qredits maandlasten'!$C$4,"",IF(B187&lt;'Qredits maandlasten'!$C$11-1,0,IF('Qredits maandlasten'!$C$10=dropdowns!$A$121,'Qredits maandlasten'!$J$3,IF('Qredits maandlasten'!$C$10=dropdowns!$A$120,IFERROR('Qredits maandlasten'!$J$3-K188,0),0)))))</f>
        <v/>
      </c>
      <c r="K188" s="128" t="str">
        <f>IF($B187="","",IF($B187+1&gt;'Qredits maandlasten'!$C$4,"",G188*I188*'Qredits maandlasten'!$C$8))</f>
        <v/>
      </c>
      <c r="L188" s="128" t="str">
        <f t="shared" si="12"/>
        <v/>
      </c>
      <c r="M188" s="128" t="str">
        <f t="shared" si="10"/>
        <v/>
      </c>
      <c r="N188" s="127"/>
      <c r="O188" s="129" t="str">
        <f>IF($B188="","",'Qredits maandlasten'!$C$8)</f>
        <v/>
      </c>
      <c r="P188" s="129" t="str">
        <f>IF($B188="","",'Qredits maandlasten'!$C$8*(POWER(1+'Qredits maandlasten'!$C$8,$B188-1+1)))</f>
        <v/>
      </c>
      <c r="Q188" s="129" t="str">
        <f t="shared" si="13"/>
        <v/>
      </c>
      <c r="R188" s="127"/>
      <c r="S188" s="128" t="str">
        <f t="shared" si="11"/>
        <v/>
      </c>
      <c r="T188" s="128" t="str">
        <f>IF(S188="","",J188/(POWER(1+'Qredits maandlasten'!$C$8,$B188-1+1)))</f>
        <v/>
      </c>
      <c r="U188" s="130" t="str">
        <f t="shared" si="14"/>
        <v/>
      </c>
      <c r="V188" s="128" t="str">
        <f>IF($B188="","",K188/(POWER(1+'Qredits maandlasten'!$C$8,$B188-1+1)))</f>
        <v/>
      </c>
      <c r="W188" s="127"/>
    </row>
    <row r="189" spans="1:23" s="132" customFormat="1" x14ac:dyDescent="0.2">
      <c r="A189" s="123"/>
      <c r="B189" s="124" t="str">
        <f>IF($B188="","",IF($B188+1&gt;'Qredits maandlasten'!$C$4,"",Schema!B188+1))</f>
        <v/>
      </c>
      <c r="C189" s="125" t="str">
        <f>IF($B188="","",IF($B188+1&gt;'Qredits maandlasten'!$C$4,"",EOMONTH(C188,0)+1))</f>
        <v/>
      </c>
      <c r="D189" s="123"/>
      <c r="E189" s="125" t="str">
        <f>IF($B188="","",IF($B188+1&gt;'Qredits maandlasten'!$C$4,"",F188+1))</f>
        <v/>
      </c>
      <c r="F189" s="125" t="str">
        <f>IF($B188="","",IF($B188+1&gt;'Qredits maandlasten'!$C$4,"",EOMONTH(E189,0)))</f>
        <v/>
      </c>
      <c r="G189" s="126" t="str">
        <f>IF($B188="","",IF($B188+1&gt;'Qredits maandlasten'!$C$4,"",(_xlfn.DAYS(F189,E189)+1)/DAY(F189)))</f>
        <v/>
      </c>
      <c r="H189" s="127"/>
      <c r="I189" s="128" t="str">
        <f>IF($B188="","",IF($B188+1&gt;'Qredits maandlasten'!$C$4,"",I188-J188))</f>
        <v/>
      </c>
      <c r="J189" s="128" t="str">
        <f>IF($B188="","",IF($B188+1&gt;'Qredits maandlasten'!$C$4,"",IF(B188&lt;'Qredits maandlasten'!$C$11-1,0,IF('Qredits maandlasten'!$C$10=dropdowns!$A$121,'Qredits maandlasten'!$J$3,IF('Qredits maandlasten'!$C$10=dropdowns!$A$120,IFERROR('Qredits maandlasten'!$J$3-K189,0),0)))))</f>
        <v/>
      </c>
      <c r="K189" s="128" t="str">
        <f>IF($B188="","",IF($B188+1&gt;'Qredits maandlasten'!$C$4,"",G189*I189*'Qredits maandlasten'!$C$8))</f>
        <v/>
      </c>
      <c r="L189" s="128" t="str">
        <f t="shared" si="12"/>
        <v/>
      </c>
      <c r="M189" s="128" t="str">
        <f t="shared" si="10"/>
        <v/>
      </c>
      <c r="N189" s="127"/>
      <c r="O189" s="129" t="str">
        <f>IF($B189="","",'Qredits maandlasten'!$C$8)</f>
        <v/>
      </c>
      <c r="P189" s="129" t="str">
        <f>IF($B189="","",'Qredits maandlasten'!$C$8*(POWER(1+'Qredits maandlasten'!$C$8,$B189-1+1)))</f>
        <v/>
      </c>
      <c r="Q189" s="129" t="str">
        <f t="shared" si="13"/>
        <v/>
      </c>
      <c r="R189" s="127"/>
      <c r="S189" s="128" t="str">
        <f t="shared" si="11"/>
        <v/>
      </c>
      <c r="T189" s="128" t="str">
        <f>IF(S189="","",J189/(POWER(1+'Qredits maandlasten'!$C$8,$B189-1+1)))</f>
        <v/>
      </c>
      <c r="U189" s="130" t="str">
        <f t="shared" si="14"/>
        <v/>
      </c>
      <c r="V189" s="128" t="str">
        <f>IF($B189="","",K189/(POWER(1+'Qredits maandlasten'!$C$8,$B189-1+1)))</f>
        <v/>
      </c>
      <c r="W189" s="127"/>
    </row>
    <row r="190" spans="1:23" s="132" customFormat="1" x14ac:dyDescent="0.2">
      <c r="A190" s="123"/>
      <c r="B190" s="124" t="str">
        <f>IF($B189="","",IF($B189+1&gt;'Qredits maandlasten'!$C$4,"",Schema!B189+1))</f>
        <v/>
      </c>
      <c r="C190" s="125" t="str">
        <f>IF($B189="","",IF($B189+1&gt;'Qredits maandlasten'!$C$4,"",EOMONTH(C189,0)+1))</f>
        <v/>
      </c>
      <c r="D190" s="123"/>
      <c r="E190" s="125" t="str">
        <f>IF($B189="","",IF($B189+1&gt;'Qredits maandlasten'!$C$4,"",F189+1))</f>
        <v/>
      </c>
      <c r="F190" s="125" t="str">
        <f>IF($B189="","",IF($B189+1&gt;'Qredits maandlasten'!$C$4,"",EOMONTH(E190,0)))</f>
        <v/>
      </c>
      <c r="G190" s="126" t="str">
        <f>IF($B189="","",IF($B189+1&gt;'Qredits maandlasten'!$C$4,"",(_xlfn.DAYS(F190,E190)+1)/DAY(F190)))</f>
        <v/>
      </c>
      <c r="H190" s="127"/>
      <c r="I190" s="128" t="str">
        <f>IF($B189="","",IF($B189+1&gt;'Qredits maandlasten'!$C$4,"",I189-J189))</f>
        <v/>
      </c>
      <c r="J190" s="128" t="str">
        <f>IF($B189="","",IF($B189+1&gt;'Qredits maandlasten'!$C$4,"",IF(B189&lt;'Qredits maandlasten'!$C$11-1,0,IF('Qredits maandlasten'!$C$10=dropdowns!$A$121,'Qredits maandlasten'!$J$3,IF('Qredits maandlasten'!$C$10=dropdowns!$A$120,IFERROR('Qredits maandlasten'!$J$3-K190,0),0)))))</f>
        <v/>
      </c>
      <c r="K190" s="128" t="str">
        <f>IF($B189="","",IF($B189+1&gt;'Qredits maandlasten'!$C$4,"",G190*I190*'Qredits maandlasten'!$C$8))</f>
        <v/>
      </c>
      <c r="L190" s="128" t="str">
        <f t="shared" si="12"/>
        <v/>
      </c>
      <c r="M190" s="128" t="str">
        <f t="shared" si="10"/>
        <v/>
      </c>
      <c r="N190" s="127"/>
      <c r="O190" s="129" t="str">
        <f>IF($B190="","",'Qredits maandlasten'!$C$8)</f>
        <v/>
      </c>
      <c r="P190" s="129" t="str">
        <f>IF($B190="","",'Qredits maandlasten'!$C$8*(POWER(1+'Qredits maandlasten'!$C$8,$B190-1+1)))</f>
        <v/>
      </c>
      <c r="Q190" s="129" t="str">
        <f t="shared" si="13"/>
        <v/>
      </c>
      <c r="R190" s="127"/>
      <c r="S190" s="128" t="str">
        <f t="shared" si="11"/>
        <v/>
      </c>
      <c r="T190" s="128" t="str">
        <f>IF(S190="","",J190/(POWER(1+'Qredits maandlasten'!$C$8,$B190-1+1)))</f>
        <v/>
      </c>
      <c r="U190" s="130" t="str">
        <f t="shared" si="14"/>
        <v/>
      </c>
      <c r="V190" s="128" t="str">
        <f>IF($B190="","",K190/(POWER(1+'Qredits maandlasten'!$C$8,$B190-1+1)))</f>
        <v/>
      </c>
      <c r="W190" s="127"/>
    </row>
    <row r="191" spans="1:23" s="132" customFormat="1" x14ac:dyDescent="0.2">
      <c r="A191" s="123"/>
      <c r="B191" s="124" t="str">
        <f>IF($B190="","",IF($B190+1&gt;'Qredits maandlasten'!$C$4,"",Schema!B190+1))</f>
        <v/>
      </c>
      <c r="C191" s="125" t="str">
        <f>IF($B190="","",IF($B190+1&gt;'Qredits maandlasten'!$C$4,"",EOMONTH(C190,0)+1))</f>
        <v/>
      </c>
      <c r="D191" s="123"/>
      <c r="E191" s="125" t="str">
        <f>IF($B190="","",IF($B190+1&gt;'Qredits maandlasten'!$C$4,"",F190+1))</f>
        <v/>
      </c>
      <c r="F191" s="125" t="str">
        <f>IF($B190="","",IF($B190+1&gt;'Qredits maandlasten'!$C$4,"",EOMONTH(E191,0)))</f>
        <v/>
      </c>
      <c r="G191" s="126" t="str">
        <f>IF($B190="","",IF($B190+1&gt;'Qredits maandlasten'!$C$4,"",(_xlfn.DAYS(F191,E191)+1)/DAY(F191)))</f>
        <v/>
      </c>
      <c r="H191" s="127"/>
      <c r="I191" s="128" t="str">
        <f>IF($B190="","",IF($B190+1&gt;'Qredits maandlasten'!$C$4,"",I190-J190))</f>
        <v/>
      </c>
      <c r="J191" s="128" t="str">
        <f>IF($B190="","",IF($B190+1&gt;'Qredits maandlasten'!$C$4,"",IF(B190&lt;'Qredits maandlasten'!$C$11-1,0,IF('Qredits maandlasten'!$C$10=dropdowns!$A$121,'Qredits maandlasten'!$J$3,IF('Qredits maandlasten'!$C$10=dropdowns!$A$120,IFERROR('Qredits maandlasten'!$J$3-K191,0),0)))))</f>
        <v/>
      </c>
      <c r="K191" s="128" t="str">
        <f>IF($B190="","",IF($B190+1&gt;'Qredits maandlasten'!$C$4,"",G191*I191*'Qredits maandlasten'!$C$8))</f>
        <v/>
      </c>
      <c r="L191" s="128" t="str">
        <f t="shared" si="12"/>
        <v/>
      </c>
      <c r="M191" s="128" t="str">
        <f t="shared" si="10"/>
        <v/>
      </c>
      <c r="N191" s="127"/>
      <c r="O191" s="129" t="str">
        <f>IF($B191="","",'Qredits maandlasten'!$C$8)</f>
        <v/>
      </c>
      <c r="P191" s="129" t="str">
        <f>IF($B191="","",'Qredits maandlasten'!$C$8*(POWER(1+'Qredits maandlasten'!$C$8,$B191-1+1)))</f>
        <v/>
      </c>
      <c r="Q191" s="129" t="str">
        <f t="shared" si="13"/>
        <v/>
      </c>
      <c r="R191" s="127"/>
      <c r="S191" s="128" t="str">
        <f t="shared" si="11"/>
        <v/>
      </c>
      <c r="T191" s="128" t="str">
        <f>IF(S191="","",J191/(POWER(1+'Qredits maandlasten'!$C$8,$B191-1+1)))</f>
        <v/>
      </c>
      <c r="U191" s="130" t="str">
        <f t="shared" si="14"/>
        <v/>
      </c>
      <c r="V191" s="128" t="str">
        <f>IF($B191="","",K191/(POWER(1+'Qredits maandlasten'!$C$8,$B191-1+1)))</f>
        <v/>
      </c>
      <c r="W191" s="127"/>
    </row>
    <row r="192" spans="1:23" s="132" customFormat="1" x14ac:dyDescent="0.2">
      <c r="A192" s="123"/>
      <c r="B192" s="124" t="str">
        <f>IF($B191="","",IF($B191+1&gt;'Qredits maandlasten'!$C$4,"",Schema!B191+1))</f>
        <v/>
      </c>
      <c r="C192" s="125" t="str">
        <f>IF($B191="","",IF($B191+1&gt;'Qredits maandlasten'!$C$4,"",EOMONTH(C191,0)+1))</f>
        <v/>
      </c>
      <c r="D192" s="123"/>
      <c r="E192" s="125" t="str">
        <f>IF($B191="","",IF($B191+1&gt;'Qredits maandlasten'!$C$4,"",F191+1))</f>
        <v/>
      </c>
      <c r="F192" s="125" t="str">
        <f>IF($B191="","",IF($B191+1&gt;'Qredits maandlasten'!$C$4,"",EOMONTH(E192,0)))</f>
        <v/>
      </c>
      <c r="G192" s="126" t="str">
        <f>IF($B191="","",IF($B191+1&gt;'Qredits maandlasten'!$C$4,"",(_xlfn.DAYS(F192,E192)+1)/DAY(F192)))</f>
        <v/>
      </c>
      <c r="H192" s="127"/>
      <c r="I192" s="128" t="str">
        <f>IF($B191="","",IF($B191+1&gt;'Qredits maandlasten'!$C$4,"",I191-J191))</f>
        <v/>
      </c>
      <c r="J192" s="128" t="str">
        <f>IF($B191="","",IF($B191+1&gt;'Qredits maandlasten'!$C$4,"",IF(B191&lt;'Qredits maandlasten'!$C$11-1,0,IF('Qredits maandlasten'!$C$10=dropdowns!$A$121,'Qredits maandlasten'!$J$3,IF('Qredits maandlasten'!$C$10=dropdowns!$A$120,IFERROR('Qredits maandlasten'!$J$3-K192,0),0)))))</f>
        <v/>
      </c>
      <c r="K192" s="128" t="str">
        <f>IF($B191="","",IF($B191+1&gt;'Qredits maandlasten'!$C$4,"",G192*I192*'Qredits maandlasten'!$C$8))</f>
        <v/>
      </c>
      <c r="L192" s="128" t="str">
        <f t="shared" si="12"/>
        <v/>
      </c>
      <c r="M192" s="128" t="str">
        <f t="shared" si="10"/>
        <v/>
      </c>
      <c r="N192" s="127"/>
      <c r="O192" s="129" t="str">
        <f>IF($B192="","",'Qredits maandlasten'!$C$8)</f>
        <v/>
      </c>
      <c r="P192" s="129" t="str">
        <f>IF($B192="","",'Qredits maandlasten'!$C$8*(POWER(1+'Qredits maandlasten'!$C$8,$B192-1+1)))</f>
        <v/>
      </c>
      <c r="Q192" s="129" t="str">
        <f t="shared" si="13"/>
        <v/>
      </c>
      <c r="R192" s="127"/>
      <c r="S192" s="128" t="str">
        <f t="shared" si="11"/>
        <v/>
      </c>
      <c r="T192" s="128" t="str">
        <f>IF(S192="","",J192/(POWER(1+'Qredits maandlasten'!$C$8,$B192-1+1)))</f>
        <v/>
      </c>
      <c r="U192" s="130" t="str">
        <f t="shared" si="14"/>
        <v/>
      </c>
      <c r="V192" s="128" t="str">
        <f>IF($B192="","",K192/(POWER(1+'Qredits maandlasten'!$C$8,$B192-1+1)))</f>
        <v/>
      </c>
      <c r="W192" s="127"/>
    </row>
    <row r="193" spans="1:23" s="132" customFormat="1" x14ac:dyDescent="0.2">
      <c r="A193" s="123"/>
      <c r="B193" s="124" t="str">
        <f>IF($B192="","",IF($B192+1&gt;'Qredits maandlasten'!$C$4,"",Schema!B192+1))</f>
        <v/>
      </c>
      <c r="C193" s="125" t="str">
        <f>IF($B192="","",IF($B192+1&gt;'Qredits maandlasten'!$C$4,"",EOMONTH(C192,0)+1))</f>
        <v/>
      </c>
      <c r="D193" s="123"/>
      <c r="E193" s="125" t="str">
        <f>IF($B192="","",IF($B192+1&gt;'Qredits maandlasten'!$C$4,"",F192+1))</f>
        <v/>
      </c>
      <c r="F193" s="125" t="str">
        <f>IF($B192="","",IF($B192+1&gt;'Qredits maandlasten'!$C$4,"",EOMONTH(E193,0)))</f>
        <v/>
      </c>
      <c r="G193" s="126" t="str">
        <f>IF($B192="","",IF($B192+1&gt;'Qredits maandlasten'!$C$4,"",(_xlfn.DAYS(F193,E193)+1)/DAY(F193)))</f>
        <v/>
      </c>
      <c r="H193" s="127"/>
      <c r="I193" s="128" t="str">
        <f>IF($B192="","",IF($B192+1&gt;'Qredits maandlasten'!$C$4,"",I192-J192))</f>
        <v/>
      </c>
      <c r="J193" s="128" t="str">
        <f>IF($B192="","",IF($B192+1&gt;'Qredits maandlasten'!$C$4,"",IF(B192&lt;'Qredits maandlasten'!$C$11-1,0,IF('Qredits maandlasten'!$C$10=dropdowns!$A$121,'Qredits maandlasten'!$J$3,IF('Qredits maandlasten'!$C$10=dropdowns!$A$120,IFERROR('Qredits maandlasten'!$J$3-K193,0),0)))))</f>
        <v/>
      </c>
      <c r="K193" s="128" t="str">
        <f>IF($B192="","",IF($B192+1&gt;'Qredits maandlasten'!$C$4,"",G193*I193*'Qredits maandlasten'!$C$8))</f>
        <v/>
      </c>
      <c r="L193" s="128" t="str">
        <f t="shared" si="12"/>
        <v/>
      </c>
      <c r="M193" s="128" t="str">
        <f t="shared" si="10"/>
        <v/>
      </c>
      <c r="N193" s="127"/>
      <c r="O193" s="129" t="str">
        <f>IF($B193="","",'Qredits maandlasten'!$C$8)</f>
        <v/>
      </c>
      <c r="P193" s="129" t="str">
        <f>IF($B193="","",'Qredits maandlasten'!$C$8*(POWER(1+'Qredits maandlasten'!$C$8,$B193-1+1)))</f>
        <v/>
      </c>
      <c r="Q193" s="129" t="str">
        <f t="shared" si="13"/>
        <v/>
      </c>
      <c r="R193" s="127"/>
      <c r="S193" s="128" t="str">
        <f t="shared" si="11"/>
        <v/>
      </c>
      <c r="T193" s="128" t="str">
        <f>IF(S193="","",J193/(POWER(1+'Qredits maandlasten'!$C$8,$B193-1+1)))</f>
        <v/>
      </c>
      <c r="U193" s="130" t="str">
        <f t="shared" si="14"/>
        <v/>
      </c>
      <c r="V193" s="128" t="str">
        <f>IF($B193="","",K193/(POWER(1+'Qredits maandlasten'!$C$8,$B193-1+1)))</f>
        <v/>
      </c>
      <c r="W193" s="127"/>
    </row>
    <row r="194" spans="1:23" s="132" customFormat="1" x14ac:dyDescent="0.2">
      <c r="A194" s="123"/>
      <c r="B194" s="124" t="str">
        <f>IF($B193="","",IF($B193+1&gt;'Qredits maandlasten'!$C$4,"",Schema!B193+1))</f>
        <v/>
      </c>
      <c r="C194" s="125" t="str">
        <f>IF($B193="","",IF($B193+1&gt;'Qredits maandlasten'!$C$4,"",EOMONTH(C193,0)+1))</f>
        <v/>
      </c>
      <c r="D194" s="123"/>
      <c r="E194" s="125" t="str">
        <f>IF($B193="","",IF($B193+1&gt;'Qredits maandlasten'!$C$4,"",F193+1))</f>
        <v/>
      </c>
      <c r="F194" s="125" t="str">
        <f>IF($B193="","",IF($B193+1&gt;'Qredits maandlasten'!$C$4,"",EOMONTH(E194,0)))</f>
        <v/>
      </c>
      <c r="G194" s="126" t="str">
        <f>IF($B193="","",IF($B193+1&gt;'Qredits maandlasten'!$C$4,"",(_xlfn.DAYS(F194,E194)+1)/DAY(F194)))</f>
        <v/>
      </c>
      <c r="H194" s="127"/>
      <c r="I194" s="128" t="str">
        <f>IF($B193="","",IF($B193+1&gt;'Qredits maandlasten'!$C$4,"",I193-J193))</f>
        <v/>
      </c>
      <c r="J194" s="128" t="str">
        <f>IF($B193="","",IF($B193+1&gt;'Qredits maandlasten'!$C$4,"",IF(B193&lt;'Qredits maandlasten'!$C$11-1,0,IF('Qredits maandlasten'!$C$10=dropdowns!$A$121,'Qredits maandlasten'!$J$3,IF('Qredits maandlasten'!$C$10=dropdowns!$A$120,IFERROR('Qredits maandlasten'!$J$3-K194,0),0)))))</f>
        <v/>
      </c>
      <c r="K194" s="128" t="str">
        <f>IF($B193="","",IF($B193+1&gt;'Qredits maandlasten'!$C$4,"",G194*I194*'Qredits maandlasten'!$C$8))</f>
        <v/>
      </c>
      <c r="L194" s="128" t="str">
        <f t="shared" si="12"/>
        <v/>
      </c>
      <c r="M194" s="128" t="str">
        <f t="shared" si="10"/>
        <v/>
      </c>
      <c r="N194" s="127"/>
      <c r="O194" s="129" t="str">
        <f>IF($B194="","",'Qredits maandlasten'!$C$8)</f>
        <v/>
      </c>
      <c r="P194" s="129" t="str">
        <f>IF($B194="","",'Qredits maandlasten'!$C$8*(POWER(1+'Qredits maandlasten'!$C$8,$B194-1+1)))</f>
        <v/>
      </c>
      <c r="Q194" s="129" t="str">
        <f t="shared" si="13"/>
        <v/>
      </c>
      <c r="R194" s="127"/>
      <c r="S194" s="128" t="str">
        <f t="shared" si="11"/>
        <v/>
      </c>
      <c r="T194" s="128" t="str">
        <f>IF(S194="","",J194/(POWER(1+'Qredits maandlasten'!$C$8,$B194-1+1)))</f>
        <v/>
      </c>
      <c r="U194" s="130" t="str">
        <f t="shared" si="14"/>
        <v/>
      </c>
      <c r="V194" s="128" t="str">
        <f>IF($B194="","",K194/(POWER(1+'Qredits maandlasten'!$C$8,$B194-1+1)))</f>
        <v/>
      </c>
      <c r="W194" s="127"/>
    </row>
    <row r="195" spans="1:23" s="132" customFormat="1" x14ac:dyDescent="0.2">
      <c r="A195" s="123"/>
      <c r="B195" s="124" t="str">
        <f>IF($B194="","",IF($B194+1&gt;'Qredits maandlasten'!$C$4,"",Schema!B194+1))</f>
        <v/>
      </c>
      <c r="C195" s="125" t="str">
        <f>IF($B194="","",IF($B194+1&gt;'Qredits maandlasten'!$C$4,"",EOMONTH(C194,0)+1))</f>
        <v/>
      </c>
      <c r="D195" s="123"/>
      <c r="E195" s="125" t="str">
        <f>IF($B194="","",IF($B194+1&gt;'Qredits maandlasten'!$C$4,"",F194+1))</f>
        <v/>
      </c>
      <c r="F195" s="125" t="str">
        <f>IF($B194="","",IF($B194+1&gt;'Qredits maandlasten'!$C$4,"",EOMONTH(E195,0)))</f>
        <v/>
      </c>
      <c r="G195" s="126" t="str">
        <f>IF($B194="","",IF($B194+1&gt;'Qredits maandlasten'!$C$4,"",(_xlfn.DAYS(F195,E195)+1)/DAY(F195)))</f>
        <v/>
      </c>
      <c r="H195" s="127"/>
      <c r="I195" s="128" t="str">
        <f>IF($B194="","",IF($B194+1&gt;'Qredits maandlasten'!$C$4,"",I194-J194))</f>
        <v/>
      </c>
      <c r="J195" s="128" t="str">
        <f>IF($B194="","",IF($B194+1&gt;'Qredits maandlasten'!$C$4,"",IF(B194&lt;'Qredits maandlasten'!$C$11-1,0,IF('Qredits maandlasten'!$C$10=dropdowns!$A$121,'Qredits maandlasten'!$J$3,IF('Qredits maandlasten'!$C$10=dropdowns!$A$120,IFERROR('Qredits maandlasten'!$J$3-K195,0),0)))))</f>
        <v/>
      </c>
      <c r="K195" s="128" t="str">
        <f>IF($B194="","",IF($B194+1&gt;'Qredits maandlasten'!$C$4,"",G195*I195*'Qredits maandlasten'!$C$8))</f>
        <v/>
      </c>
      <c r="L195" s="128" t="str">
        <f t="shared" si="12"/>
        <v/>
      </c>
      <c r="M195" s="128" t="str">
        <f t="shared" si="10"/>
        <v/>
      </c>
      <c r="N195" s="127"/>
      <c r="O195" s="129" t="str">
        <f>IF($B195="","",'Qredits maandlasten'!$C$8)</f>
        <v/>
      </c>
      <c r="P195" s="129" t="str">
        <f>IF($B195="","",'Qredits maandlasten'!$C$8*(POWER(1+'Qredits maandlasten'!$C$8,$B195-1+1)))</f>
        <v/>
      </c>
      <c r="Q195" s="129" t="str">
        <f t="shared" si="13"/>
        <v/>
      </c>
      <c r="R195" s="127"/>
      <c r="S195" s="128" t="str">
        <f t="shared" si="11"/>
        <v/>
      </c>
      <c r="T195" s="128" t="str">
        <f>IF(S195="","",J195/(POWER(1+'Qredits maandlasten'!$C$8,$B195-1+1)))</f>
        <v/>
      </c>
      <c r="U195" s="130" t="str">
        <f t="shared" si="14"/>
        <v/>
      </c>
      <c r="V195" s="128" t="str">
        <f>IF($B195="","",K195/(POWER(1+'Qredits maandlasten'!$C$8,$B195-1+1)))</f>
        <v/>
      </c>
      <c r="W195" s="127"/>
    </row>
    <row r="196" spans="1:23" s="132" customFormat="1" x14ac:dyDescent="0.2">
      <c r="A196" s="123"/>
      <c r="B196" s="124" t="str">
        <f>IF($B195="","",IF($B195+1&gt;'Qredits maandlasten'!$C$4,"",Schema!B195+1))</f>
        <v/>
      </c>
      <c r="C196" s="125" t="str">
        <f>IF($B195="","",IF($B195+1&gt;'Qredits maandlasten'!$C$4,"",EOMONTH(C195,0)+1))</f>
        <v/>
      </c>
      <c r="D196" s="123"/>
      <c r="E196" s="125" t="str">
        <f>IF($B195="","",IF($B195+1&gt;'Qredits maandlasten'!$C$4,"",F195+1))</f>
        <v/>
      </c>
      <c r="F196" s="125" t="str">
        <f>IF($B195="","",IF($B195+1&gt;'Qredits maandlasten'!$C$4,"",EOMONTH(E196,0)))</f>
        <v/>
      </c>
      <c r="G196" s="126" t="str">
        <f>IF($B195="","",IF($B195+1&gt;'Qredits maandlasten'!$C$4,"",(_xlfn.DAYS(F196,E196)+1)/DAY(F196)))</f>
        <v/>
      </c>
      <c r="H196" s="127"/>
      <c r="I196" s="128" t="str">
        <f>IF($B195="","",IF($B195+1&gt;'Qredits maandlasten'!$C$4,"",I195-J195))</f>
        <v/>
      </c>
      <c r="J196" s="128" t="str">
        <f>IF($B195="","",IF($B195+1&gt;'Qredits maandlasten'!$C$4,"",IF(B195&lt;'Qredits maandlasten'!$C$11-1,0,IF('Qredits maandlasten'!$C$10=dropdowns!$A$121,'Qredits maandlasten'!$J$3,IF('Qredits maandlasten'!$C$10=dropdowns!$A$120,IFERROR('Qredits maandlasten'!$J$3-K196,0),0)))))</f>
        <v/>
      </c>
      <c r="K196" s="128" t="str">
        <f>IF($B195="","",IF($B195+1&gt;'Qredits maandlasten'!$C$4,"",G196*I196*'Qredits maandlasten'!$C$8))</f>
        <v/>
      </c>
      <c r="L196" s="128" t="str">
        <f t="shared" si="12"/>
        <v/>
      </c>
      <c r="M196" s="128" t="str">
        <f t="shared" si="10"/>
        <v/>
      </c>
      <c r="N196" s="127"/>
      <c r="O196" s="129" t="str">
        <f>IF($B196="","",'Qredits maandlasten'!$C$8)</f>
        <v/>
      </c>
      <c r="P196" s="129" t="str">
        <f>IF($B196="","",'Qredits maandlasten'!$C$8*(POWER(1+'Qredits maandlasten'!$C$8,$B196-1+1)))</f>
        <v/>
      </c>
      <c r="Q196" s="129" t="str">
        <f t="shared" si="13"/>
        <v/>
      </c>
      <c r="R196" s="127"/>
      <c r="S196" s="128" t="str">
        <f t="shared" si="11"/>
        <v/>
      </c>
      <c r="T196" s="128" t="str">
        <f>IF(S196="","",J196/(POWER(1+'Qredits maandlasten'!$C$8,$B196-1+1)))</f>
        <v/>
      </c>
      <c r="U196" s="130" t="str">
        <f t="shared" si="14"/>
        <v/>
      </c>
      <c r="V196" s="128" t="str">
        <f>IF($B196="","",K196/(POWER(1+'Qredits maandlasten'!$C$8,$B196-1+1)))</f>
        <v/>
      </c>
      <c r="W196" s="127"/>
    </row>
    <row r="197" spans="1:23" s="132" customFormat="1" x14ac:dyDescent="0.2">
      <c r="A197" s="123"/>
      <c r="B197" s="124" t="str">
        <f>IF($B196="","",IF($B196+1&gt;'Qredits maandlasten'!$C$4,"",Schema!B196+1))</f>
        <v/>
      </c>
      <c r="C197" s="125" t="str">
        <f>IF($B196="","",IF($B196+1&gt;'Qredits maandlasten'!$C$4,"",EOMONTH(C196,0)+1))</f>
        <v/>
      </c>
      <c r="D197" s="123"/>
      <c r="E197" s="125" t="str">
        <f>IF($B196="","",IF($B196+1&gt;'Qredits maandlasten'!$C$4,"",F196+1))</f>
        <v/>
      </c>
      <c r="F197" s="125" t="str">
        <f>IF($B196="","",IF($B196+1&gt;'Qredits maandlasten'!$C$4,"",EOMONTH(E197,0)))</f>
        <v/>
      </c>
      <c r="G197" s="126" t="str">
        <f>IF($B196="","",IF($B196+1&gt;'Qredits maandlasten'!$C$4,"",(_xlfn.DAYS(F197,E197)+1)/DAY(F197)))</f>
        <v/>
      </c>
      <c r="H197" s="127"/>
      <c r="I197" s="128" t="str">
        <f>IF($B196="","",IF($B196+1&gt;'Qredits maandlasten'!$C$4,"",I196-J196))</f>
        <v/>
      </c>
      <c r="J197" s="128" t="str">
        <f>IF($B196="","",IF($B196+1&gt;'Qredits maandlasten'!$C$4,"",IF(B196&lt;'Qredits maandlasten'!$C$11-1,0,IF('Qredits maandlasten'!$C$10=dropdowns!$A$121,'Qredits maandlasten'!$J$3,IF('Qredits maandlasten'!$C$10=dropdowns!$A$120,IFERROR('Qredits maandlasten'!$J$3-K197,0),0)))))</f>
        <v/>
      </c>
      <c r="K197" s="128" t="str">
        <f>IF($B196="","",IF($B196+1&gt;'Qredits maandlasten'!$C$4,"",G197*I197*'Qredits maandlasten'!$C$8))</f>
        <v/>
      </c>
      <c r="L197" s="128" t="str">
        <f t="shared" si="12"/>
        <v/>
      </c>
      <c r="M197" s="128" t="str">
        <f t="shared" si="10"/>
        <v/>
      </c>
      <c r="N197" s="127"/>
      <c r="O197" s="129" t="str">
        <f>IF($B197="","",'Qredits maandlasten'!$C$8)</f>
        <v/>
      </c>
      <c r="P197" s="129" t="str">
        <f>IF($B197="","",'Qredits maandlasten'!$C$8*(POWER(1+'Qredits maandlasten'!$C$8,$B197-1+1)))</f>
        <v/>
      </c>
      <c r="Q197" s="129" t="str">
        <f t="shared" si="13"/>
        <v/>
      </c>
      <c r="R197" s="127"/>
      <c r="S197" s="128" t="str">
        <f t="shared" si="11"/>
        <v/>
      </c>
      <c r="T197" s="128" t="str">
        <f>IF(S197="","",J197/(POWER(1+'Qredits maandlasten'!$C$8,$B197-1+1)))</f>
        <v/>
      </c>
      <c r="U197" s="130" t="str">
        <f t="shared" si="14"/>
        <v/>
      </c>
      <c r="V197" s="128" t="str">
        <f>IF($B197="","",K197/(POWER(1+'Qredits maandlasten'!$C$8,$B197-1+1)))</f>
        <v/>
      </c>
      <c r="W197" s="127"/>
    </row>
    <row r="198" spans="1:23" s="132" customFormat="1" x14ac:dyDescent="0.2">
      <c r="A198" s="123"/>
      <c r="B198" s="124" t="str">
        <f>IF($B197="","",IF($B197+1&gt;'Qredits maandlasten'!$C$4,"",Schema!B197+1))</f>
        <v/>
      </c>
      <c r="C198" s="125" t="str">
        <f>IF($B197="","",IF($B197+1&gt;'Qredits maandlasten'!$C$4,"",EOMONTH(C197,0)+1))</f>
        <v/>
      </c>
      <c r="D198" s="123"/>
      <c r="E198" s="125" t="str">
        <f>IF($B197="","",IF($B197+1&gt;'Qredits maandlasten'!$C$4,"",F197+1))</f>
        <v/>
      </c>
      <c r="F198" s="125" t="str">
        <f>IF($B197="","",IF($B197+1&gt;'Qredits maandlasten'!$C$4,"",EOMONTH(E198,0)))</f>
        <v/>
      </c>
      <c r="G198" s="126" t="str">
        <f>IF($B197="","",IF($B197+1&gt;'Qredits maandlasten'!$C$4,"",(_xlfn.DAYS(F198,E198)+1)/DAY(F198)))</f>
        <v/>
      </c>
      <c r="H198" s="127"/>
      <c r="I198" s="128" t="str">
        <f>IF($B197="","",IF($B197+1&gt;'Qredits maandlasten'!$C$4,"",I197-J197))</f>
        <v/>
      </c>
      <c r="J198" s="128" t="str">
        <f>IF($B197="","",IF($B197+1&gt;'Qredits maandlasten'!$C$4,"",IF(B197&lt;'Qredits maandlasten'!$C$11-1,0,IF('Qredits maandlasten'!$C$10=dropdowns!$A$121,'Qredits maandlasten'!$J$3,IF('Qredits maandlasten'!$C$10=dropdowns!$A$120,IFERROR('Qredits maandlasten'!$J$3-K198,0),0)))))</f>
        <v/>
      </c>
      <c r="K198" s="128" t="str">
        <f>IF($B197="","",IF($B197+1&gt;'Qredits maandlasten'!$C$4,"",G198*I198*'Qredits maandlasten'!$C$8))</f>
        <v/>
      </c>
      <c r="L198" s="128" t="str">
        <f t="shared" si="12"/>
        <v/>
      </c>
      <c r="M198" s="128" t="str">
        <f t="shared" si="10"/>
        <v/>
      </c>
      <c r="N198" s="127"/>
      <c r="O198" s="129" t="str">
        <f>IF($B198="","",'Qredits maandlasten'!$C$8)</f>
        <v/>
      </c>
      <c r="P198" s="129" t="str">
        <f>IF($B198="","",'Qredits maandlasten'!$C$8*(POWER(1+'Qredits maandlasten'!$C$8,$B198-1+1)))</f>
        <v/>
      </c>
      <c r="Q198" s="129" t="str">
        <f t="shared" si="13"/>
        <v/>
      </c>
      <c r="R198" s="127"/>
      <c r="S198" s="128" t="str">
        <f t="shared" si="11"/>
        <v/>
      </c>
      <c r="T198" s="128" t="str">
        <f>IF(S198="","",J198/(POWER(1+'Qredits maandlasten'!$C$8,$B198-1+1)))</f>
        <v/>
      </c>
      <c r="U198" s="130" t="str">
        <f t="shared" si="14"/>
        <v/>
      </c>
      <c r="V198" s="128" t="str">
        <f>IF($B198="","",K198/(POWER(1+'Qredits maandlasten'!$C$8,$B198-1+1)))</f>
        <v/>
      </c>
      <c r="W198" s="127"/>
    </row>
    <row r="199" spans="1:23" s="132" customFormat="1" x14ac:dyDescent="0.2">
      <c r="A199" s="123"/>
      <c r="B199" s="124" t="str">
        <f>IF($B198="","",IF($B198+1&gt;'Qredits maandlasten'!$C$4,"",Schema!B198+1))</f>
        <v/>
      </c>
      <c r="C199" s="125" t="str">
        <f>IF($B198="","",IF($B198+1&gt;'Qredits maandlasten'!$C$4,"",EOMONTH(C198,0)+1))</f>
        <v/>
      </c>
      <c r="D199" s="123"/>
      <c r="E199" s="125" t="str">
        <f>IF($B198="","",IF($B198+1&gt;'Qredits maandlasten'!$C$4,"",F198+1))</f>
        <v/>
      </c>
      <c r="F199" s="125" t="str">
        <f>IF($B198="","",IF($B198+1&gt;'Qredits maandlasten'!$C$4,"",EOMONTH(E199,0)))</f>
        <v/>
      </c>
      <c r="G199" s="126" t="str">
        <f>IF($B198="","",IF($B198+1&gt;'Qredits maandlasten'!$C$4,"",(_xlfn.DAYS(F199,E199)+1)/DAY(F199)))</f>
        <v/>
      </c>
      <c r="H199" s="127"/>
      <c r="I199" s="128" t="str">
        <f>IF($B198="","",IF($B198+1&gt;'Qredits maandlasten'!$C$4,"",I198-J198))</f>
        <v/>
      </c>
      <c r="J199" s="128" t="str">
        <f>IF($B198="","",IF($B198+1&gt;'Qredits maandlasten'!$C$4,"",IF(B198&lt;'Qredits maandlasten'!$C$11-1,0,IF('Qredits maandlasten'!$C$10=dropdowns!$A$121,'Qredits maandlasten'!$J$3,IF('Qredits maandlasten'!$C$10=dropdowns!$A$120,IFERROR('Qredits maandlasten'!$J$3-K199,0),0)))))</f>
        <v/>
      </c>
      <c r="K199" s="128" t="str">
        <f>IF($B198="","",IF($B198+1&gt;'Qredits maandlasten'!$C$4,"",G199*I199*'Qredits maandlasten'!$C$8))</f>
        <v/>
      </c>
      <c r="L199" s="128" t="str">
        <f t="shared" si="12"/>
        <v/>
      </c>
      <c r="M199" s="128" t="str">
        <f t="shared" si="10"/>
        <v/>
      </c>
      <c r="N199" s="127"/>
      <c r="O199" s="129" t="str">
        <f>IF($B199="","",'Qredits maandlasten'!$C$8)</f>
        <v/>
      </c>
      <c r="P199" s="129" t="str">
        <f>IF($B199="","",'Qredits maandlasten'!$C$8*(POWER(1+'Qredits maandlasten'!$C$8,$B199-1+1)))</f>
        <v/>
      </c>
      <c r="Q199" s="129" t="str">
        <f t="shared" si="13"/>
        <v/>
      </c>
      <c r="R199" s="127"/>
      <c r="S199" s="128" t="str">
        <f t="shared" si="11"/>
        <v/>
      </c>
      <c r="T199" s="128" t="str">
        <f>IF(S199="","",J199/(POWER(1+'Qredits maandlasten'!$C$8,$B199-1+1)))</f>
        <v/>
      </c>
      <c r="U199" s="130" t="str">
        <f t="shared" si="14"/>
        <v/>
      </c>
      <c r="V199" s="128" t="str">
        <f>IF($B199="","",K199/(POWER(1+'Qredits maandlasten'!$C$8,$B199-1+1)))</f>
        <v/>
      </c>
      <c r="W199" s="127"/>
    </row>
    <row r="200" spans="1:23" s="132" customFormat="1" x14ac:dyDescent="0.2">
      <c r="A200" s="123"/>
      <c r="B200" s="124" t="str">
        <f>IF($B199="","",IF($B199+1&gt;'Qredits maandlasten'!$C$4,"",Schema!B199+1))</f>
        <v/>
      </c>
      <c r="C200" s="125" t="str">
        <f>IF($B199="","",IF($B199+1&gt;'Qredits maandlasten'!$C$4,"",EOMONTH(C199,0)+1))</f>
        <v/>
      </c>
      <c r="D200" s="123"/>
      <c r="E200" s="125" t="str">
        <f>IF($B199="","",IF($B199+1&gt;'Qredits maandlasten'!$C$4,"",F199+1))</f>
        <v/>
      </c>
      <c r="F200" s="125" t="str">
        <f>IF($B199="","",IF($B199+1&gt;'Qredits maandlasten'!$C$4,"",EOMONTH(E200,0)))</f>
        <v/>
      </c>
      <c r="G200" s="126" t="str">
        <f>IF($B199="","",IF($B199+1&gt;'Qredits maandlasten'!$C$4,"",(_xlfn.DAYS(F200,E200)+1)/DAY(F200)))</f>
        <v/>
      </c>
      <c r="H200" s="127"/>
      <c r="I200" s="128" t="str">
        <f>IF($B199="","",IF($B199+1&gt;'Qredits maandlasten'!$C$4,"",I199-J199))</f>
        <v/>
      </c>
      <c r="J200" s="128" t="str">
        <f>IF($B199="","",IF($B199+1&gt;'Qredits maandlasten'!$C$4,"",IF(B199&lt;'Qredits maandlasten'!$C$11-1,0,IF('Qredits maandlasten'!$C$10=dropdowns!$A$121,'Qredits maandlasten'!$J$3,IF('Qredits maandlasten'!$C$10=dropdowns!$A$120,IFERROR('Qredits maandlasten'!$J$3-K200,0),0)))))</f>
        <v/>
      </c>
      <c r="K200" s="128" t="str">
        <f>IF($B199="","",IF($B199+1&gt;'Qredits maandlasten'!$C$4,"",G200*I200*'Qredits maandlasten'!$C$8))</f>
        <v/>
      </c>
      <c r="L200" s="128" t="str">
        <f t="shared" si="12"/>
        <v/>
      </c>
      <c r="M200" s="128" t="str">
        <f t="shared" si="10"/>
        <v/>
      </c>
      <c r="N200" s="127"/>
      <c r="O200" s="129" t="str">
        <f>IF($B200="","",'Qredits maandlasten'!$C$8)</f>
        <v/>
      </c>
      <c r="P200" s="129" t="str">
        <f>IF($B200="","",'Qredits maandlasten'!$C$8*(POWER(1+'Qredits maandlasten'!$C$8,$B200-1+1)))</f>
        <v/>
      </c>
      <c r="Q200" s="129" t="str">
        <f t="shared" si="13"/>
        <v/>
      </c>
      <c r="R200" s="127"/>
      <c r="S200" s="128" t="str">
        <f t="shared" si="11"/>
        <v/>
      </c>
      <c r="T200" s="128" t="str">
        <f>IF(S200="","",J200/(POWER(1+'Qredits maandlasten'!$C$8,$B200-1+1)))</f>
        <v/>
      </c>
      <c r="U200" s="130" t="str">
        <f t="shared" si="14"/>
        <v/>
      </c>
      <c r="V200" s="128" t="str">
        <f>IF($B200="","",K200/(POWER(1+'Qredits maandlasten'!$C$8,$B200-1+1)))</f>
        <v/>
      </c>
      <c r="W200" s="127"/>
    </row>
    <row r="201" spans="1:23" s="132" customFormat="1" x14ac:dyDescent="0.2">
      <c r="A201" s="123"/>
      <c r="B201" s="124" t="str">
        <f>IF($B200="","",IF($B200+1&gt;'Qredits maandlasten'!$C$4,"",Schema!B200+1))</f>
        <v/>
      </c>
      <c r="C201" s="125" t="str">
        <f>IF($B200="","",IF($B200+1&gt;'Qredits maandlasten'!$C$4,"",EOMONTH(C200,0)+1))</f>
        <v/>
      </c>
      <c r="D201" s="123"/>
      <c r="E201" s="125" t="str">
        <f>IF($B200="","",IF($B200+1&gt;'Qredits maandlasten'!$C$4,"",F200+1))</f>
        <v/>
      </c>
      <c r="F201" s="125" t="str">
        <f>IF($B200="","",IF($B200+1&gt;'Qredits maandlasten'!$C$4,"",EOMONTH(E201,0)))</f>
        <v/>
      </c>
      <c r="G201" s="126" t="str">
        <f>IF($B200="","",IF($B200+1&gt;'Qredits maandlasten'!$C$4,"",(_xlfn.DAYS(F201,E201)+1)/DAY(F201)))</f>
        <v/>
      </c>
      <c r="H201" s="127"/>
      <c r="I201" s="128" t="str">
        <f>IF($B200="","",IF($B200+1&gt;'Qredits maandlasten'!$C$4,"",I200-J200))</f>
        <v/>
      </c>
      <c r="J201" s="128" t="str">
        <f>IF($B200="","",IF($B200+1&gt;'Qredits maandlasten'!$C$4,"",IF(B200&lt;'Qredits maandlasten'!$C$11-1,0,IF('Qredits maandlasten'!$C$10=dropdowns!$A$121,'Qredits maandlasten'!$J$3,IF('Qredits maandlasten'!$C$10=dropdowns!$A$120,IFERROR('Qredits maandlasten'!$J$3-K201,0),0)))))</f>
        <v/>
      </c>
      <c r="K201" s="128" t="str">
        <f>IF($B200="","",IF($B200+1&gt;'Qredits maandlasten'!$C$4,"",G201*I201*'Qredits maandlasten'!$C$8))</f>
        <v/>
      </c>
      <c r="L201" s="128" t="str">
        <f t="shared" si="12"/>
        <v/>
      </c>
      <c r="M201" s="128" t="str">
        <f t="shared" si="10"/>
        <v/>
      </c>
      <c r="N201" s="127"/>
      <c r="O201" s="129" t="str">
        <f>IF($B201="","",'Qredits maandlasten'!$C$8)</f>
        <v/>
      </c>
      <c r="P201" s="129" t="str">
        <f>IF($B201="","",'Qredits maandlasten'!$C$8*(POWER(1+'Qredits maandlasten'!$C$8,$B201-1+1)))</f>
        <v/>
      </c>
      <c r="Q201" s="129" t="str">
        <f t="shared" si="13"/>
        <v/>
      </c>
      <c r="R201" s="127"/>
      <c r="S201" s="128" t="str">
        <f t="shared" si="11"/>
        <v/>
      </c>
      <c r="T201" s="128" t="str">
        <f>IF(S201="","",J201/(POWER(1+'Qredits maandlasten'!$C$8,$B201-1+1)))</f>
        <v/>
      </c>
      <c r="U201" s="130" t="str">
        <f t="shared" si="14"/>
        <v/>
      </c>
      <c r="V201" s="128" t="str">
        <f>IF($B201="","",K201/(POWER(1+'Qredits maandlasten'!$C$8,$B201-1+1)))</f>
        <v/>
      </c>
      <c r="W201" s="127"/>
    </row>
    <row r="202" spans="1:23" s="132" customFormat="1" x14ac:dyDescent="0.2">
      <c r="A202" s="123"/>
      <c r="B202" s="124" t="str">
        <f>IF($B201="","",IF($B201+1&gt;'Qredits maandlasten'!$C$4,"",Schema!B201+1))</f>
        <v/>
      </c>
      <c r="C202" s="125" t="str">
        <f>IF($B201="","",IF($B201+1&gt;'Qredits maandlasten'!$C$4,"",EOMONTH(C201,0)+1))</f>
        <v/>
      </c>
      <c r="D202" s="123"/>
      <c r="E202" s="125" t="str">
        <f>IF($B201="","",IF($B201+1&gt;'Qredits maandlasten'!$C$4,"",F201+1))</f>
        <v/>
      </c>
      <c r="F202" s="125" t="str">
        <f>IF($B201="","",IF($B201+1&gt;'Qredits maandlasten'!$C$4,"",EOMONTH(E202,0)))</f>
        <v/>
      </c>
      <c r="G202" s="126" t="str">
        <f>IF($B201="","",IF($B201+1&gt;'Qredits maandlasten'!$C$4,"",(_xlfn.DAYS(F202,E202)+1)/DAY(F202)))</f>
        <v/>
      </c>
      <c r="H202" s="127"/>
      <c r="I202" s="128" t="str">
        <f>IF($B201="","",IF($B201+1&gt;'Qredits maandlasten'!$C$4,"",I201-J201))</f>
        <v/>
      </c>
      <c r="J202" s="128" t="str">
        <f>IF($B201="","",IF($B201+1&gt;'Qredits maandlasten'!$C$4,"",IF(B201&lt;'Qredits maandlasten'!$C$11-1,0,IF('Qredits maandlasten'!$C$10=dropdowns!$A$121,'Qredits maandlasten'!$J$3,IF('Qredits maandlasten'!$C$10=dropdowns!$A$120,IFERROR('Qredits maandlasten'!$J$3-K202,0),0)))))</f>
        <v/>
      </c>
      <c r="K202" s="128" t="str">
        <f>IF($B201="","",IF($B201+1&gt;'Qredits maandlasten'!$C$4,"",G202*I202*'Qredits maandlasten'!$C$8))</f>
        <v/>
      </c>
      <c r="L202" s="128" t="str">
        <f t="shared" si="12"/>
        <v/>
      </c>
      <c r="M202" s="128" t="str">
        <f t="shared" ref="M202:M265" si="15">IF(S202="","",-K202-J202)</f>
        <v/>
      </c>
      <c r="N202" s="127"/>
      <c r="O202" s="129" t="str">
        <f>IF($B202="","",'Qredits maandlasten'!$C$8)</f>
        <v/>
      </c>
      <c r="P202" s="129" t="str">
        <f>IF($B202="","",'Qredits maandlasten'!$C$8*(POWER(1+'Qredits maandlasten'!$C$8,$B202-1+1)))</f>
        <v/>
      </c>
      <c r="Q202" s="129" t="str">
        <f t="shared" si="13"/>
        <v/>
      </c>
      <c r="R202" s="127"/>
      <c r="S202" s="128" t="str">
        <f t="shared" ref="S202:S265" si="16">IF(B202="","",IF(S201-T201&lt;0,"",S201-T201))</f>
        <v/>
      </c>
      <c r="T202" s="128" t="str">
        <f>IF(S202="","",J202/(POWER(1+'Qredits maandlasten'!$C$8,$B202-1+1)))</f>
        <v/>
      </c>
      <c r="U202" s="130" t="str">
        <f t="shared" si="14"/>
        <v/>
      </c>
      <c r="V202" s="128" t="str">
        <f>IF($B202="","",K202/(POWER(1+'Qredits maandlasten'!$C$8,$B202-1+1)))</f>
        <v/>
      </c>
      <c r="W202" s="127"/>
    </row>
    <row r="203" spans="1:23" s="132" customFormat="1" x14ac:dyDescent="0.2">
      <c r="A203" s="123"/>
      <c r="B203" s="124" t="str">
        <f>IF($B202="","",IF($B202+1&gt;'Qredits maandlasten'!$C$4,"",Schema!B202+1))</f>
        <v/>
      </c>
      <c r="C203" s="125" t="str">
        <f>IF($B202="","",IF($B202+1&gt;'Qredits maandlasten'!$C$4,"",EOMONTH(C202,0)+1))</f>
        <v/>
      </c>
      <c r="D203" s="123"/>
      <c r="E203" s="125" t="str">
        <f>IF($B202="","",IF($B202+1&gt;'Qredits maandlasten'!$C$4,"",F202+1))</f>
        <v/>
      </c>
      <c r="F203" s="125" t="str">
        <f>IF($B202="","",IF($B202+1&gt;'Qredits maandlasten'!$C$4,"",EOMONTH(E203,0)))</f>
        <v/>
      </c>
      <c r="G203" s="126" t="str">
        <f>IF($B202="","",IF($B202+1&gt;'Qredits maandlasten'!$C$4,"",(_xlfn.DAYS(F203,E203)+1)/DAY(F203)))</f>
        <v/>
      </c>
      <c r="H203" s="127"/>
      <c r="I203" s="128" t="str">
        <f>IF($B202="","",IF($B202+1&gt;'Qredits maandlasten'!$C$4,"",I202-J202))</f>
        <v/>
      </c>
      <c r="J203" s="128" t="str">
        <f>IF($B202="","",IF($B202+1&gt;'Qredits maandlasten'!$C$4,"",IF(B202&lt;'Qredits maandlasten'!$C$11-1,0,IF('Qredits maandlasten'!$C$10=dropdowns!$A$121,'Qredits maandlasten'!$J$3,IF('Qredits maandlasten'!$C$10=dropdowns!$A$120,IFERROR('Qredits maandlasten'!$J$3-K203,0),0)))))</f>
        <v/>
      </c>
      <c r="K203" s="128" t="str">
        <f>IF($B202="","",IF($B202+1&gt;'Qredits maandlasten'!$C$4,"",G203*I203*'Qredits maandlasten'!$C$8))</f>
        <v/>
      </c>
      <c r="L203" s="128" t="str">
        <f t="shared" ref="L203:L266" si="17">IF(S203="","",-K203-J203)</f>
        <v/>
      </c>
      <c r="M203" s="128" t="str">
        <f t="shared" si="15"/>
        <v/>
      </c>
      <c r="N203" s="127"/>
      <c r="O203" s="129" t="str">
        <f>IF($B203="","",'Qredits maandlasten'!$C$8)</f>
        <v/>
      </c>
      <c r="P203" s="129" t="str">
        <f>IF($B203="","",'Qredits maandlasten'!$C$8*(POWER(1+'Qredits maandlasten'!$C$8,$B203-1+1)))</f>
        <v/>
      </c>
      <c r="Q203" s="129" t="str">
        <f t="shared" ref="Q203:Q266" si="18">IF($B203="","",IFERROR(J203/T203-1,0))</f>
        <v/>
      </c>
      <c r="R203" s="127"/>
      <c r="S203" s="128" t="str">
        <f t="shared" si="16"/>
        <v/>
      </c>
      <c r="T203" s="128" t="str">
        <f>IF(S203="","",J203/(POWER(1+'Qredits maandlasten'!$C$8,$B203-1+1)))</f>
        <v/>
      </c>
      <c r="U203" s="130" t="str">
        <f t="shared" ref="U203:U266" si="19">IF(S203="","",T203+V203)</f>
        <v/>
      </c>
      <c r="V203" s="128" t="str">
        <f>IF($B203="","",K203/(POWER(1+'Qredits maandlasten'!$C$8,$B203-1+1)))</f>
        <v/>
      </c>
      <c r="W203" s="127"/>
    </row>
    <row r="204" spans="1:23" s="132" customFormat="1" x14ac:dyDescent="0.2">
      <c r="A204" s="123"/>
      <c r="B204" s="124" t="str">
        <f>IF($B203="","",IF($B203+1&gt;'Qredits maandlasten'!$C$4,"",Schema!B203+1))</f>
        <v/>
      </c>
      <c r="C204" s="125" t="str">
        <f>IF($B203="","",IF($B203+1&gt;'Qredits maandlasten'!$C$4,"",EOMONTH(C203,0)+1))</f>
        <v/>
      </c>
      <c r="D204" s="123"/>
      <c r="E204" s="125" t="str">
        <f>IF($B203="","",IF($B203+1&gt;'Qredits maandlasten'!$C$4,"",F203+1))</f>
        <v/>
      </c>
      <c r="F204" s="125" t="str">
        <f>IF($B203="","",IF($B203+1&gt;'Qredits maandlasten'!$C$4,"",EOMONTH(E204,0)))</f>
        <v/>
      </c>
      <c r="G204" s="126" t="str">
        <f>IF($B203="","",IF($B203+1&gt;'Qredits maandlasten'!$C$4,"",(_xlfn.DAYS(F204,E204)+1)/DAY(F204)))</f>
        <v/>
      </c>
      <c r="H204" s="127"/>
      <c r="I204" s="128" t="str">
        <f>IF($B203="","",IF($B203+1&gt;'Qredits maandlasten'!$C$4,"",I203-J203))</f>
        <v/>
      </c>
      <c r="J204" s="128" t="str">
        <f>IF($B203="","",IF($B203+1&gt;'Qredits maandlasten'!$C$4,"",IF(B203&lt;'Qredits maandlasten'!$C$11-1,0,IF('Qredits maandlasten'!$C$10=dropdowns!$A$121,'Qredits maandlasten'!$J$3,IF('Qredits maandlasten'!$C$10=dropdowns!$A$120,IFERROR('Qredits maandlasten'!$J$3-K204,0),0)))))</f>
        <v/>
      </c>
      <c r="K204" s="128" t="str">
        <f>IF($B203="","",IF($B203+1&gt;'Qredits maandlasten'!$C$4,"",G204*I204*'Qredits maandlasten'!$C$8))</f>
        <v/>
      </c>
      <c r="L204" s="128" t="str">
        <f t="shared" si="17"/>
        <v/>
      </c>
      <c r="M204" s="128" t="str">
        <f t="shared" si="15"/>
        <v/>
      </c>
      <c r="N204" s="127"/>
      <c r="O204" s="129" t="str">
        <f>IF($B204="","",'Qredits maandlasten'!$C$8)</f>
        <v/>
      </c>
      <c r="P204" s="129" t="str">
        <f>IF($B204="","",'Qredits maandlasten'!$C$8*(POWER(1+'Qredits maandlasten'!$C$8,$B204-1+1)))</f>
        <v/>
      </c>
      <c r="Q204" s="129" t="str">
        <f t="shared" si="18"/>
        <v/>
      </c>
      <c r="R204" s="127"/>
      <c r="S204" s="128" t="str">
        <f t="shared" si="16"/>
        <v/>
      </c>
      <c r="T204" s="128" t="str">
        <f>IF(S204="","",J204/(POWER(1+'Qredits maandlasten'!$C$8,$B204-1+1)))</f>
        <v/>
      </c>
      <c r="U204" s="130" t="str">
        <f t="shared" si="19"/>
        <v/>
      </c>
      <c r="V204" s="128" t="str">
        <f>IF($B204="","",K204/(POWER(1+'Qredits maandlasten'!$C$8,$B204-1+1)))</f>
        <v/>
      </c>
      <c r="W204" s="127"/>
    </row>
    <row r="205" spans="1:23" s="132" customFormat="1" x14ac:dyDescent="0.2">
      <c r="A205" s="123"/>
      <c r="B205" s="124" t="str">
        <f>IF($B204="","",IF($B204+1&gt;'Qredits maandlasten'!$C$4,"",Schema!B204+1))</f>
        <v/>
      </c>
      <c r="C205" s="125" t="str">
        <f>IF($B204="","",IF($B204+1&gt;'Qredits maandlasten'!$C$4,"",EOMONTH(C204,0)+1))</f>
        <v/>
      </c>
      <c r="D205" s="123"/>
      <c r="E205" s="125" t="str">
        <f>IF($B204="","",IF($B204+1&gt;'Qredits maandlasten'!$C$4,"",F204+1))</f>
        <v/>
      </c>
      <c r="F205" s="125" t="str">
        <f>IF($B204="","",IF($B204+1&gt;'Qredits maandlasten'!$C$4,"",EOMONTH(E205,0)))</f>
        <v/>
      </c>
      <c r="G205" s="126" t="str">
        <f>IF($B204="","",IF($B204+1&gt;'Qredits maandlasten'!$C$4,"",(_xlfn.DAYS(F205,E205)+1)/DAY(F205)))</f>
        <v/>
      </c>
      <c r="H205" s="127"/>
      <c r="I205" s="128" t="str">
        <f>IF($B204="","",IF($B204+1&gt;'Qredits maandlasten'!$C$4,"",I204-J204))</f>
        <v/>
      </c>
      <c r="J205" s="128" t="str">
        <f>IF($B204="","",IF($B204+1&gt;'Qredits maandlasten'!$C$4,"",IF(B204&lt;'Qredits maandlasten'!$C$11-1,0,IF('Qredits maandlasten'!$C$10=dropdowns!$A$121,'Qredits maandlasten'!$J$3,IF('Qredits maandlasten'!$C$10=dropdowns!$A$120,IFERROR('Qredits maandlasten'!$J$3-K205,0),0)))))</f>
        <v/>
      </c>
      <c r="K205" s="128" t="str">
        <f>IF($B204="","",IF($B204+1&gt;'Qredits maandlasten'!$C$4,"",G205*I205*'Qredits maandlasten'!$C$8))</f>
        <v/>
      </c>
      <c r="L205" s="128" t="str">
        <f t="shared" si="17"/>
        <v/>
      </c>
      <c r="M205" s="128" t="str">
        <f t="shared" si="15"/>
        <v/>
      </c>
      <c r="N205" s="127"/>
      <c r="O205" s="129" t="str">
        <f>IF($B205="","",'Qredits maandlasten'!$C$8)</f>
        <v/>
      </c>
      <c r="P205" s="129" t="str">
        <f>IF($B205="","",'Qredits maandlasten'!$C$8*(POWER(1+'Qredits maandlasten'!$C$8,$B205-1+1)))</f>
        <v/>
      </c>
      <c r="Q205" s="129" t="str">
        <f t="shared" si="18"/>
        <v/>
      </c>
      <c r="R205" s="127"/>
      <c r="S205" s="128" t="str">
        <f t="shared" si="16"/>
        <v/>
      </c>
      <c r="T205" s="128" t="str">
        <f>IF(S205="","",J205/(POWER(1+'Qredits maandlasten'!$C$8,$B205-1+1)))</f>
        <v/>
      </c>
      <c r="U205" s="130" t="str">
        <f t="shared" si="19"/>
        <v/>
      </c>
      <c r="V205" s="128" t="str">
        <f>IF($B205="","",K205/(POWER(1+'Qredits maandlasten'!$C$8,$B205-1+1)))</f>
        <v/>
      </c>
      <c r="W205" s="127"/>
    </row>
    <row r="206" spans="1:23" s="132" customFormat="1" x14ac:dyDescent="0.2">
      <c r="A206" s="123"/>
      <c r="B206" s="124" t="str">
        <f>IF($B205="","",IF($B205+1&gt;'Qredits maandlasten'!$C$4,"",Schema!B205+1))</f>
        <v/>
      </c>
      <c r="C206" s="125" t="str">
        <f>IF($B205="","",IF($B205+1&gt;'Qredits maandlasten'!$C$4,"",EOMONTH(C205,0)+1))</f>
        <v/>
      </c>
      <c r="D206" s="123"/>
      <c r="E206" s="125" t="str">
        <f>IF($B205="","",IF($B205+1&gt;'Qredits maandlasten'!$C$4,"",F205+1))</f>
        <v/>
      </c>
      <c r="F206" s="125" t="str">
        <f>IF($B205="","",IF($B205+1&gt;'Qredits maandlasten'!$C$4,"",EOMONTH(E206,0)))</f>
        <v/>
      </c>
      <c r="G206" s="126" t="str">
        <f>IF($B205="","",IF($B205+1&gt;'Qredits maandlasten'!$C$4,"",(_xlfn.DAYS(F206,E206)+1)/DAY(F206)))</f>
        <v/>
      </c>
      <c r="H206" s="127"/>
      <c r="I206" s="128" t="str">
        <f>IF($B205="","",IF($B205+1&gt;'Qredits maandlasten'!$C$4,"",I205-J205))</f>
        <v/>
      </c>
      <c r="J206" s="128" t="str">
        <f>IF($B205="","",IF($B205+1&gt;'Qredits maandlasten'!$C$4,"",IF(B205&lt;'Qredits maandlasten'!$C$11-1,0,IF('Qredits maandlasten'!$C$10=dropdowns!$A$121,'Qredits maandlasten'!$J$3,IF('Qredits maandlasten'!$C$10=dropdowns!$A$120,IFERROR('Qredits maandlasten'!$J$3-K206,0),0)))))</f>
        <v/>
      </c>
      <c r="K206" s="128" t="str">
        <f>IF($B205="","",IF($B205+1&gt;'Qredits maandlasten'!$C$4,"",G206*I206*'Qredits maandlasten'!$C$8))</f>
        <v/>
      </c>
      <c r="L206" s="128" t="str">
        <f t="shared" si="17"/>
        <v/>
      </c>
      <c r="M206" s="128" t="str">
        <f t="shared" si="15"/>
        <v/>
      </c>
      <c r="N206" s="127"/>
      <c r="O206" s="129" t="str">
        <f>IF($B206="","",'Qredits maandlasten'!$C$8)</f>
        <v/>
      </c>
      <c r="P206" s="129" t="str">
        <f>IF($B206="","",'Qredits maandlasten'!$C$8*(POWER(1+'Qredits maandlasten'!$C$8,$B206-1+1)))</f>
        <v/>
      </c>
      <c r="Q206" s="129" t="str">
        <f t="shared" si="18"/>
        <v/>
      </c>
      <c r="R206" s="127"/>
      <c r="S206" s="128" t="str">
        <f t="shared" si="16"/>
        <v/>
      </c>
      <c r="T206" s="128" t="str">
        <f>IF(S206="","",J206/(POWER(1+'Qredits maandlasten'!$C$8,$B206-1+1)))</f>
        <v/>
      </c>
      <c r="U206" s="130" t="str">
        <f t="shared" si="19"/>
        <v/>
      </c>
      <c r="V206" s="128" t="str">
        <f>IF($B206="","",K206/(POWER(1+'Qredits maandlasten'!$C$8,$B206-1+1)))</f>
        <v/>
      </c>
      <c r="W206" s="127"/>
    </row>
    <row r="207" spans="1:23" s="132" customFormat="1" x14ac:dyDescent="0.2">
      <c r="A207" s="123"/>
      <c r="B207" s="124" t="str">
        <f>IF($B206="","",IF($B206+1&gt;'Qredits maandlasten'!$C$4,"",Schema!B206+1))</f>
        <v/>
      </c>
      <c r="C207" s="125" t="str">
        <f>IF($B206="","",IF($B206+1&gt;'Qredits maandlasten'!$C$4,"",EOMONTH(C206,0)+1))</f>
        <v/>
      </c>
      <c r="D207" s="123"/>
      <c r="E207" s="125" t="str">
        <f>IF($B206="","",IF($B206+1&gt;'Qredits maandlasten'!$C$4,"",F206+1))</f>
        <v/>
      </c>
      <c r="F207" s="125" t="str">
        <f>IF($B206="","",IF($B206+1&gt;'Qredits maandlasten'!$C$4,"",EOMONTH(E207,0)))</f>
        <v/>
      </c>
      <c r="G207" s="126" t="str">
        <f>IF($B206="","",IF($B206+1&gt;'Qredits maandlasten'!$C$4,"",(_xlfn.DAYS(F207,E207)+1)/DAY(F207)))</f>
        <v/>
      </c>
      <c r="H207" s="127"/>
      <c r="I207" s="128" t="str">
        <f>IF($B206="","",IF($B206+1&gt;'Qredits maandlasten'!$C$4,"",I206-J206))</f>
        <v/>
      </c>
      <c r="J207" s="128" t="str">
        <f>IF($B206="","",IF($B206+1&gt;'Qredits maandlasten'!$C$4,"",IF(B206&lt;'Qredits maandlasten'!$C$11-1,0,IF('Qredits maandlasten'!$C$10=dropdowns!$A$121,'Qredits maandlasten'!$J$3,IF('Qredits maandlasten'!$C$10=dropdowns!$A$120,IFERROR('Qredits maandlasten'!$J$3-K207,0),0)))))</f>
        <v/>
      </c>
      <c r="K207" s="128" t="str">
        <f>IF($B206="","",IF($B206+1&gt;'Qredits maandlasten'!$C$4,"",G207*I207*'Qredits maandlasten'!$C$8))</f>
        <v/>
      </c>
      <c r="L207" s="128" t="str">
        <f t="shared" si="17"/>
        <v/>
      </c>
      <c r="M207" s="128" t="str">
        <f t="shared" si="15"/>
        <v/>
      </c>
      <c r="N207" s="127"/>
      <c r="O207" s="129" t="str">
        <f>IF($B207="","",'Qredits maandlasten'!$C$8)</f>
        <v/>
      </c>
      <c r="P207" s="129" t="str">
        <f>IF($B207="","",'Qredits maandlasten'!$C$8*(POWER(1+'Qredits maandlasten'!$C$8,$B207-1+1)))</f>
        <v/>
      </c>
      <c r="Q207" s="129" t="str">
        <f t="shared" si="18"/>
        <v/>
      </c>
      <c r="R207" s="127"/>
      <c r="S207" s="128" t="str">
        <f t="shared" si="16"/>
        <v/>
      </c>
      <c r="T207" s="128" t="str">
        <f>IF(S207="","",J207/(POWER(1+'Qredits maandlasten'!$C$8,$B207-1+1)))</f>
        <v/>
      </c>
      <c r="U207" s="130" t="str">
        <f t="shared" si="19"/>
        <v/>
      </c>
      <c r="V207" s="128" t="str">
        <f>IF($B207="","",K207/(POWER(1+'Qredits maandlasten'!$C$8,$B207-1+1)))</f>
        <v/>
      </c>
      <c r="W207" s="127"/>
    </row>
    <row r="208" spans="1:23" s="132" customFormat="1" x14ac:dyDescent="0.2">
      <c r="A208" s="123"/>
      <c r="B208" s="124" t="str">
        <f>IF($B207="","",IF($B207+1&gt;'Qredits maandlasten'!$C$4,"",Schema!B207+1))</f>
        <v/>
      </c>
      <c r="C208" s="125" t="str">
        <f>IF($B207="","",IF($B207+1&gt;'Qredits maandlasten'!$C$4,"",EOMONTH(C207,0)+1))</f>
        <v/>
      </c>
      <c r="D208" s="123"/>
      <c r="E208" s="125" t="str">
        <f>IF($B207="","",IF($B207+1&gt;'Qredits maandlasten'!$C$4,"",F207+1))</f>
        <v/>
      </c>
      <c r="F208" s="125" t="str">
        <f>IF($B207="","",IF($B207+1&gt;'Qredits maandlasten'!$C$4,"",EOMONTH(E208,0)))</f>
        <v/>
      </c>
      <c r="G208" s="126" t="str">
        <f>IF($B207="","",IF($B207+1&gt;'Qredits maandlasten'!$C$4,"",(_xlfn.DAYS(F208,E208)+1)/DAY(F208)))</f>
        <v/>
      </c>
      <c r="H208" s="127"/>
      <c r="I208" s="128" t="str">
        <f>IF($B207="","",IF($B207+1&gt;'Qredits maandlasten'!$C$4,"",I207-J207))</f>
        <v/>
      </c>
      <c r="J208" s="128" t="str">
        <f>IF($B207="","",IF($B207+1&gt;'Qredits maandlasten'!$C$4,"",IF(B207&lt;'Qredits maandlasten'!$C$11-1,0,IF('Qredits maandlasten'!$C$10=dropdowns!$A$121,'Qredits maandlasten'!$J$3,IF('Qredits maandlasten'!$C$10=dropdowns!$A$120,IFERROR('Qredits maandlasten'!$J$3-K208,0),0)))))</f>
        <v/>
      </c>
      <c r="K208" s="128" t="str">
        <f>IF($B207="","",IF($B207+1&gt;'Qredits maandlasten'!$C$4,"",G208*I208*'Qredits maandlasten'!$C$8))</f>
        <v/>
      </c>
      <c r="L208" s="128" t="str">
        <f t="shared" si="17"/>
        <v/>
      </c>
      <c r="M208" s="128" t="str">
        <f t="shared" si="15"/>
        <v/>
      </c>
      <c r="N208" s="127"/>
      <c r="O208" s="129" t="str">
        <f>IF($B208="","",'Qredits maandlasten'!$C$8)</f>
        <v/>
      </c>
      <c r="P208" s="129" t="str">
        <f>IF($B208="","",'Qredits maandlasten'!$C$8*(POWER(1+'Qredits maandlasten'!$C$8,$B208-1+1)))</f>
        <v/>
      </c>
      <c r="Q208" s="129" t="str">
        <f t="shared" si="18"/>
        <v/>
      </c>
      <c r="R208" s="127"/>
      <c r="S208" s="128" t="str">
        <f t="shared" si="16"/>
        <v/>
      </c>
      <c r="T208" s="128" t="str">
        <f>IF(S208="","",J208/(POWER(1+'Qredits maandlasten'!$C$8,$B208-1+1)))</f>
        <v/>
      </c>
      <c r="U208" s="130" t="str">
        <f t="shared" si="19"/>
        <v/>
      </c>
      <c r="V208" s="128" t="str">
        <f>IF($B208="","",K208/(POWER(1+'Qredits maandlasten'!$C$8,$B208-1+1)))</f>
        <v/>
      </c>
      <c r="W208" s="127"/>
    </row>
    <row r="209" spans="1:23" s="132" customFormat="1" x14ac:dyDescent="0.2">
      <c r="A209" s="123"/>
      <c r="B209" s="124" t="str">
        <f>IF($B208="","",IF($B208+1&gt;'Qredits maandlasten'!$C$4,"",Schema!B208+1))</f>
        <v/>
      </c>
      <c r="C209" s="125" t="str">
        <f>IF($B208="","",IF($B208+1&gt;'Qredits maandlasten'!$C$4,"",EOMONTH(C208,0)+1))</f>
        <v/>
      </c>
      <c r="D209" s="123"/>
      <c r="E209" s="125" t="str">
        <f>IF($B208="","",IF($B208+1&gt;'Qredits maandlasten'!$C$4,"",F208+1))</f>
        <v/>
      </c>
      <c r="F209" s="125" t="str">
        <f>IF($B208="","",IF($B208+1&gt;'Qredits maandlasten'!$C$4,"",EOMONTH(E209,0)))</f>
        <v/>
      </c>
      <c r="G209" s="126" t="str">
        <f>IF($B208="","",IF($B208+1&gt;'Qredits maandlasten'!$C$4,"",(_xlfn.DAYS(F209,E209)+1)/DAY(F209)))</f>
        <v/>
      </c>
      <c r="H209" s="127"/>
      <c r="I209" s="128" t="str">
        <f>IF($B208="","",IF($B208+1&gt;'Qredits maandlasten'!$C$4,"",I208-J208))</f>
        <v/>
      </c>
      <c r="J209" s="128" t="str">
        <f>IF($B208="","",IF($B208+1&gt;'Qredits maandlasten'!$C$4,"",IF(B208&lt;'Qredits maandlasten'!$C$11-1,0,IF('Qredits maandlasten'!$C$10=dropdowns!$A$121,'Qredits maandlasten'!$J$3,IF('Qredits maandlasten'!$C$10=dropdowns!$A$120,IFERROR('Qredits maandlasten'!$J$3-K209,0),0)))))</f>
        <v/>
      </c>
      <c r="K209" s="128" t="str">
        <f>IF($B208="","",IF($B208+1&gt;'Qredits maandlasten'!$C$4,"",G209*I209*'Qredits maandlasten'!$C$8))</f>
        <v/>
      </c>
      <c r="L209" s="128" t="str">
        <f t="shared" si="17"/>
        <v/>
      </c>
      <c r="M209" s="128" t="str">
        <f t="shared" si="15"/>
        <v/>
      </c>
      <c r="N209" s="127"/>
      <c r="O209" s="129" t="str">
        <f>IF($B209="","",'Qredits maandlasten'!$C$8)</f>
        <v/>
      </c>
      <c r="P209" s="129" t="str">
        <f>IF($B209="","",'Qredits maandlasten'!$C$8*(POWER(1+'Qredits maandlasten'!$C$8,$B209-1+1)))</f>
        <v/>
      </c>
      <c r="Q209" s="129" t="str">
        <f t="shared" si="18"/>
        <v/>
      </c>
      <c r="R209" s="127"/>
      <c r="S209" s="128" t="str">
        <f t="shared" si="16"/>
        <v/>
      </c>
      <c r="T209" s="128" t="str">
        <f>IF(S209="","",J209/(POWER(1+'Qredits maandlasten'!$C$8,$B209-1+1)))</f>
        <v/>
      </c>
      <c r="U209" s="130" t="str">
        <f t="shared" si="19"/>
        <v/>
      </c>
      <c r="V209" s="128" t="str">
        <f>IF($B209="","",K209/(POWER(1+'Qredits maandlasten'!$C$8,$B209-1+1)))</f>
        <v/>
      </c>
      <c r="W209" s="127"/>
    </row>
    <row r="210" spans="1:23" s="132" customFormat="1" x14ac:dyDescent="0.2">
      <c r="A210" s="123"/>
      <c r="B210" s="124" t="str">
        <f>IF($B209="","",IF($B209+1&gt;'Qredits maandlasten'!$C$4,"",Schema!B209+1))</f>
        <v/>
      </c>
      <c r="C210" s="125" t="str">
        <f>IF($B209="","",IF($B209+1&gt;'Qredits maandlasten'!$C$4,"",EOMONTH(C209,0)+1))</f>
        <v/>
      </c>
      <c r="D210" s="123"/>
      <c r="E210" s="125" t="str">
        <f>IF($B209="","",IF($B209+1&gt;'Qredits maandlasten'!$C$4,"",F209+1))</f>
        <v/>
      </c>
      <c r="F210" s="125" t="str">
        <f>IF($B209="","",IF($B209+1&gt;'Qredits maandlasten'!$C$4,"",EOMONTH(E210,0)))</f>
        <v/>
      </c>
      <c r="G210" s="126" t="str">
        <f>IF($B209="","",IF($B209+1&gt;'Qredits maandlasten'!$C$4,"",(_xlfn.DAYS(F210,E210)+1)/DAY(F210)))</f>
        <v/>
      </c>
      <c r="H210" s="127"/>
      <c r="I210" s="128" t="str">
        <f>IF($B209="","",IF($B209+1&gt;'Qredits maandlasten'!$C$4,"",I209-J209))</f>
        <v/>
      </c>
      <c r="J210" s="128" t="str">
        <f>IF($B209="","",IF($B209+1&gt;'Qredits maandlasten'!$C$4,"",IF(B209&lt;'Qredits maandlasten'!$C$11-1,0,IF('Qredits maandlasten'!$C$10=dropdowns!$A$121,'Qredits maandlasten'!$J$3,IF('Qredits maandlasten'!$C$10=dropdowns!$A$120,IFERROR('Qredits maandlasten'!$J$3-K210,0),0)))))</f>
        <v/>
      </c>
      <c r="K210" s="128" t="str">
        <f>IF($B209="","",IF($B209+1&gt;'Qredits maandlasten'!$C$4,"",G210*I210*'Qredits maandlasten'!$C$8))</f>
        <v/>
      </c>
      <c r="L210" s="128" t="str">
        <f t="shared" si="17"/>
        <v/>
      </c>
      <c r="M210" s="128" t="str">
        <f t="shared" si="15"/>
        <v/>
      </c>
      <c r="N210" s="127"/>
      <c r="O210" s="129" t="str">
        <f>IF($B210="","",'Qredits maandlasten'!$C$8)</f>
        <v/>
      </c>
      <c r="P210" s="129" t="str">
        <f>IF($B210="","",'Qredits maandlasten'!$C$8*(POWER(1+'Qredits maandlasten'!$C$8,$B210-1+1)))</f>
        <v/>
      </c>
      <c r="Q210" s="129" t="str">
        <f t="shared" si="18"/>
        <v/>
      </c>
      <c r="R210" s="127"/>
      <c r="S210" s="128" t="str">
        <f t="shared" si="16"/>
        <v/>
      </c>
      <c r="T210" s="128" t="str">
        <f>IF(S210="","",J210/(POWER(1+'Qredits maandlasten'!$C$8,$B210-1+1)))</f>
        <v/>
      </c>
      <c r="U210" s="130" t="str">
        <f t="shared" si="19"/>
        <v/>
      </c>
      <c r="V210" s="128" t="str">
        <f>IF($B210="","",K210/(POWER(1+'Qredits maandlasten'!$C$8,$B210-1+1)))</f>
        <v/>
      </c>
      <c r="W210" s="127"/>
    </row>
    <row r="211" spans="1:23" s="132" customFormat="1" x14ac:dyDescent="0.2">
      <c r="A211" s="123"/>
      <c r="B211" s="124" t="str">
        <f>IF($B210="","",IF($B210+1&gt;'Qredits maandlasten'!$C$4,"",Schema!B210+1))</f>
        <v/>
      </c>
      <c r="C211" s="125" t="str">
        <f>IF($B210="","",IF($B210+1&gt;'Qredits maandlasten'!$C$4,"",EOMONTH(C210,0)+1))</f>
        <v/>
      </c>
      <c r="D211" s="123"/>
      <c r="E211" s="125" t="str">
        <f>IF($B210="","",IF($B210+1&gt;'Qredits maandlasten'!$C$4,"",F210+1))</f>
        <v/>
      </c>
      <c r="F211" s="125" t="str">
        <f>IF($B210="","",IF($B210+1&gt;'Qredits maandlasten'!$C$4,"",EOMONTH(E211,0)))</f>
        <v/>
      </c>
      <c r="G211" s="126" t="str">
        <f>IF($B210="","",IF($B210+1&gt;'Qredits maandlasten'!$C$4,"",(_xlfn.DAYS(F211,E211)+1)/DAY(F211)))</f>
        <v/>
      </c>
      <c r="H211" s="127"/>
      <c r="I211" s="128" t="str">
        <f>IF($B210="","",IF($B210+1&gt;'Qredits maandlasten'!$C$4,"",I210-J210))</f>
        <v/>
      </c>
      <c r="J211" s="128" t="str">
        <f>IF($B210="","",IF($B210+1&gt;'Qredits maandlasten'!$C$4,"",IF(B210&lt;'Qredits maandlasten'!$C$11-1,0,IF('Qredits maandlasten'!$C$10=dropdowns!$A$121,'Qredits maandlasten'!$J$3,IF('Qredits maandlasten'!$C$10=dropdowns!$A$120,IFERROR('Qredits maandlasten'!$J$3-K211,0),0)))))</f>
        <v/>
      </c>
      <c r="K211" s="128" t="str">
        <f>IF($B210="","",IF($B210+1&gt;'Qredits maandlasten'!$C$4,"",G211*I211*'Qredits maandlasten'!$C$8))</f>
        <v/>
      </c>
      <c r="L211" s="128" t="str">
        <f t="shared" si="17"/>
        <v/>
      </c>
      <c r="M211" s="128" t="str">
        <f t="shared" si="15"/>
        <v/>
      </c>
      <c r="N211" s="127"/>
      <c r="O211" s="129" t="str">
        <f>IF($B211="","",'Qredits maandlasten'!$C$8)</f>
        <v/>
      </c>
      <c r="P211" s="129" t="str">
        <f>IF($B211="","",'Qredits maandlasten'!$C$8*(POWER(1+'Qredits maandlasten'!$C$8,$B211-1+1)))</f>
        <v/>
      </c>
      <c r="Q211" s="129" t="str">
        <f t="shared" si="18"/>
        <v/>
      </c>
      <c r="R211" s="127"/>
      <c r="S211" s="128" t="str">
        <f t="shared" si="16"/>
        <v/>
      </c>
      <c r="T211" s="128" t="str">
        <f>IF(S211="","",J211/(POWER(1+'Qredits maandlasten'!$C$8,$B211-1+1)))</f>
        <v/>
      </c>
      <c r="U211" s="130" t="str">
        <f t="shared" si="19"/>
        <v/>
      </c>
      <c r="V211" s="128" t="str">
        <f>IF($B211="","",K211/(POWER(1+'Qredits maandlasten'!$C$8,$B211-1+1)))</f>
        <v/>
      </c>
      <c r="W211" s="127"/>
    </row>
    <row r="212" spans="1:23" s="132" customFormat="1" x14ac:dyDescent="0.2">
      <c r="A212" s="123"/>
      <c r="B212" s="124" t="str">
        <f>IF($B211="","",IF($B211+1&gt;'Qredits maandlasten'!$C$4,"",Schema!B211+1))</f>
        <v/>
      </c>
      <c r="C212" s="125" t="str">
        <f>IF($B211="","",IF($B211+1&gt;'Qredits maandlasten'!$C$4,"",EOMONTH(C211,0)+1))</f>
        <v/>
      </c>
      <c r="D212" s="123"/>
      <c r="E212" s="125" t="str">
        <f>IF($B211="","",IF($B211+1&gt;'Qredits maandlasten'!$C$4,"",F211+1))</f>
        <v/>
      </c>
      <c r="F212" s="125" t="str">
        <f>IF($B211="","",IF($B211+1&gt;'Qredits maandlasten'!$C$4,"",EOMONTH(E212,0)))</f>
        <v/>
      </c>
      <c r="G212" s="126" t="str">
        <f>IF($B211="","",IF($B211+1&gt;'Qredits maandlasten'!$C$4,"",(_xlfn.DAYS(F212,E212)+1)/DAY(F212)))</f>
        <v/>
      </c>
      <c r="H212" s="127"/>
      <c r="I212" s="128" t="str">
        <f>IF($B211="","",IF($B211+1&gt;'Qredits maandlasten'!$C$4,"",I211-J211))</f>
        <v/>
      </c>
      <c r="J212" s="128" t="str">
        <f>IF($B211="","",IF($B211+1&gt;'Qredits maandlasten'!$C$4,"",IF(B211&lt;'Qredits maandlasten'!$C$11-1,0,IF('Qredits maandlasten'!$C$10=dropdowns!$A$121,'Qredits maandlasten'!$J$3,IF('Qredits maandlasten'!$C$10=dropdowns!$A$120,IFERROR('Qredits maandlasten'!$J$3-K212,0),0)))))</f>
        <v/>
      </c>
      <c r="K212" s="128" t="str">
        <f>IF($B211="","",IF($B211+1&gt;'Qredits maandlasten'!$C$4,"",G212*I212*'Qredits maandlasten'!$C$8))</f>
        <v/>
      </c>
      <c r="L212" s="128" t="str">
        <f t="shared" si="17"/>
        <v/>
      </c>
      <c r="M212" s="128" t="str">
        <f t="shared" si="15"/>
        <v/>
      </c>
      <c r="N212" s="127"/>
      <c r="O212" s="129" t="str">
        <f>IF($B212="","",'Qredits maandlasten'!$C$8)</f>
        <v/>
      </c>
      <c r="P212" s="129" t="str">
        <f>IF($B212="","",'Qredits maandlasten'!$C$8*(POWER(1+'Qredits maandlasten'!$C$8,$B212-1+1)))</f>
        <v/>
      </c>
      <c r="Q212" s="129" t="str">
        <f t="shared" si="18"/>
        <v/>
      </c>
      <c r="R212" s="127"/>
      <c r="S212" s="128" t="str">
        <f t="shared" si="16"/>
        <v/>
      </c>
      <c r="T212" s="128" t="str">
        <f>IF(S212="","",J212/(POWER(1+'Qredits maandlasten'!$C$8,$B212-1+1)))</f>
        <v/>
      </c>
      <c r="U212" s="130" t="str">
        <f t="shared" si="19"/>
        <v/>
      </c>
      <c r="V212" s="128" t="str">
        <f>IF($B212="","",K212/(POWER(1+'Qredits maandlasten'!$C$8,$B212-1+1)))</f>
        <v/>
      </c>
      <c r="W212" s="127"/>
    </row>
    <row r="213" spans="1:23" s="132" customFormat="1" x14ac:dyDescent="0.2">
      <c r="A213" s="123"/>
      <c r="B213" s="124" t="str">
        <f>IF($B212="","",IF($B212+1&gt;'Qredits maandlasten'!$C$4,"",Schema!B212+1))</f>
        <v/>
      </c>
      <c r="C213" s="125" t="str">
        <f>IF($B212="","",IF($B212+1&gt;'Qredits maandlasten'!$C$4,"",EOMONTH(C212,0)+1))</f>
        <v/>
      </c>
      <c r="D213" s="123"/>
      <c r="E213" s="125" t="str">
        <f>IF($B212="","",IF($B212+1&gt;'Qredits maandlasten'!$C$4,"",F212+1))</f>
        <v/>
      </c>
      <c r="F213" s="125" t="str">
        <f>IF($B212="","",IF($B212+1&gt;'Qredits maandlasten'!$C$4,"",EOMONTH(E213,0)))</f>
        <v/>
      </c>
      <c r="G213" s="126" t="str">
        <f>IF($B212="","",IF($B212+1&gt;'Qredits maandlasten'!$C$4,"",(_xlfn.DAYS(F213,E213)+1)/DAY(F213)))</f>
        <v/>
      </c>
      <c r="H213" s="127"/>
      <c r="I213" s="128" t="str">
        <f>IF($B212="","",IF($B212+1&gt;'Qredits maandlasten'!$C$4,"",I212-J212))</f>
        <v/>
      </c>
      <c r="J213" s="128" t="str">
        <f>IF($B212="","",IF($B212+1&gt;'Qredits maandlasten'!$C$4,"",IF(B212&lt;'Qredits maandlasten'!$C$11-1,0,IF('Qredits maandlasten'!$C$10=dropdowns!$A$121,'Qredits maandlasten'!$J$3,IF('Qredits maandlasten'!$C$10=dropdowns!$A$120,IFERROR('Qredits maandlasten'!$J$3-K213,0),0)))))</f>
        <v/>
      </c>
      <c r="K213" s="128" t="str">
        <f>IF($B212="","",IF($B212+1&gt;'Qredits maandlasten'!$C$4,"",G213*I213*'Qredits maandlasten'!$C$8))</f>
        <v/>
      </c>
      <c r="L213" s="128" t="str">
        <f t="shared" si="17"/>
        <v/>
      </c>
      <c r="M213" s="128" t="str">
        <f t="shared" si="15"/>
        <v/>
      </c>
      <c r="N213" s="127"/>
      <c r="O213" s="129" t="str">
        <f>IF($B213="","",'Qredits maandlasten'!$C$8)</f>
        <v/>
      </c>
      <c r="P213" s="129" t="str">
        <f>IF($B213="","",'Qredits maandlasten'!$C$8*(POWER(1+'Qredits maandlasten'!$C$8,$B213-1+1)))</f>
        <v/>
      </c>
      <c r="Q213" s="129" t="str">
        <f t="shared" si="18"/>
        <v/>
      </c>
      <c r="R213" s="127"/>
      <c r="S213" s="128" t="str">
        <f t="shared" si="16"/>
        <v/>
      </c>
      <c r="T213" s="128" t="str">
        <f>IF(S213="","",J213/(POWER(1+'Qredits maandlasten'!$C$8,$B213-1+1)))</f>
        <v/>
      </c>
      <c r="U213" s="130" t="str">
        <f t="shared" si="19"/>
        <v/>
      </c>
      <c r="V213" s="128" t="str">
        <f>IF($B213="","",K213/(POWER(1+'Qredits maandlasten'!$C$8,$B213-1+1)))</f>
        <v/>
      </c>
      <c r="W213" s="127"/>
    </row>
    <row r="214" spans="1:23" s="132" customFormat="1" x14ac:dyDescent="0.2">
      <c r="A214" s="123"/>
      <c r="B214" s="124" t="str">
        <f>IF($B213="","",IF($B213+1&gt;'Qredits maandlasten'!$C$4,"",Schema!B213+1))</f>
        <v/>
      </c>
      <c r="C214" s="125" t="str">
        <f>IF($B213="","",IF($B213+1&gt;'Qredits maandlasten'!$C$4,"",EOMONTH(C213,0)+1))</f>
        <v/>
      </c>
      <c r="D214" s="123"/>
      <c r="E214" s="125" t="str">
        <f>IF($B213="","",IF($B213+1&gt;'Qredits maandlasten'!$C$4,"",F213+1))</f>
        <v/>
      </c>
      <c r="F214" s="125" t="str">
        <f>IF($B213="","",IF($B213+1&gt;'Qredits maandlasten'!$C$4,"",EOMONTH(E214,0)))</f>
        <v/>
      </c>
      <c r="G214" s="126" t="str">
        <f>IF($B213="","",IF($B213+1&gt;'Qredits maandlasten'!$C$4,"",(_xlfn.DAYS(F214,E214)+1)/DAY(F214)))</f>
        <v/>
      </c>
      <c r="H214" s="127"/>
      <c r="I214" s="128" t="str">
        <f>IF($B213="","",IF($B213+1&gt;'Qredits maandlasten'!$C$4,"",I213-J213))</f>
        <v/>
      </c>
      <c r="J214" s="128" t="str">
        <f>IF($B213="","",IF($B213+1&gt;'Qredits maandlasten'!$C$4,"",IF(B213&lt;'Qredits maandlasten'!$C$11-1,0,IF('Qredits maandlasten'!$C$10=dropdowns!$A$121,'Qredits maandlasten'!$J$3,IF('Qredits maandlasten'!$C$10=dropdowns!$A$120,IFERROR('Qredits maandlasten'!$J$3-K214,0),0)))))</f>
        <v/>
      </c>
      <c r="K214" s="128" t="str">
        <f>IF($B213="","",IF($B213+1&gt;'Qredits maandlasten'!$C$4,"",G214*I214*'Qredits maandlasten'!$C$8))</f>
        <v/>
      </c>
      <c r="L214" s="128" t="str">
        <f t="shared" si="17"/>
        <v/>
      </c>
      <c r="M214" s="128" t="str">
        <f t="shared" si="15"/>
        <v/>
      </c>
      <c r="N214" s="127"/>
      <c r="O214" s="129" t="str">
        <f>IF($B214="","",'Qredits maandlasten'!$C$8)</f>
        <v/>
      </c>
      <c r="P214" s="129" t="str">
        <f>IF($B214="","",'Qredits maandlasten'!$C$8*(POWER(1+'Qredits maandlasten'!$C$8,$B214-1+1)))</f>
        <v/>
      </c>
      <c r="Q214" s="129" t="str">
        <f t="shared" si="18"/>
        <v/>
      </c>
      <c r="R214" s="127"/>
      <c r="S214" s="128" t="str">
        <f t="shared" si="16"/>
        <v/>
      </c>
      <c r="T214" s="128" t="str">
        <f>IF(S214="","",J214/(POWER(1+'Qredits maandlasten'!$C$8,$B214-1+1)))</f>
        <v/>
      </c>
      <c r="U214" s="130" t="str">
        <f t="shared" si="19"/>
        <v/>
      </c>
      <c r="V214" s="128" t="str">
        <f>IF($B214="","",K214/(POWER(1+'Qredits maandlasten'!$C$8,$B214-1+1)))</f>
        <v/>
      </c>
      <c r="W214" s="127"/>
    </row>
    <row r="215" spans="1:23" s="132" customFormat="1" x14ac:dyDescent="0.2">
      <c r="A215" s="123"/>
      <c r="B215" s="124" t="str">
        <f>IF($B214="","",IF($B214+1&gt;'Qredits maandlasten'!$C$4,"",Schema!B214+1))</f>
        <v/>
      </c>
      <c r="C215" s="125" t="str">
        <f>IF($B214="","",IF($B214+1&gt;'Qredits maandlasten'!$C$4,"",EOMONTH(C214,0)+1))</f>
        <v/>
      </c>
      <c r="D215" s="123"/>
      <c r="E215" s="125" t="str">
        <f>IF($B214="","",IF($B214+1&gt;'Qredits maandlasten'!$C$4,"",F214+1))</f>
        <v/>
      </c>
      <c r="F215" s="125" t="str">
        <f>IF($B214="","",IF($B214+1&gt;'Qredits maandlasten'!$C$4,"",EOMONTH(E215,0)))</f>
        <v/>
      </c>
      <c r="G215" s="126" t="str">
        <f>IF($B214="","",IF($B214+1&gt;'Qredits maandlasten'!$C$4,"",(_xlfn.DAYS(F215,E215)+1)/DAY(F215)))</f>
        <v/>
      </c>
      <c r="H215" s="127"/>
      <c r="I215" s="128" t="str">
        <f>IF($B214="","",IF($B214+1&gt;'Qredits maandlasten'!$C$4,"",I214-J214))</f>
        <v/>
      </c>
      <c r="J215" s="128" t="str">
        <f>IF($B214="","",IF($B214+1&gt;'Qredits maandlasten'!$C$4,"",IF(B214&lt;'Qredits maandlasten'!$C$11-1,0,IF('Qredits maandlasten'!$C$10=dropdowns!$A$121,'Qredits maandlasten'!$J$3,IF('Qredits maandlasten'!$C$10=dropdowns!$A$120,IFERROR('Qredits maandlasten'!$J$3-K215,0),0)))))</f>
        <v/>
      </c>
      <c r="K215" s="128" t="str">
        <f>IF($B214="","",IF($B214+1&gt;'Qredits maandlasten'!$C$4,"",G215*I215*'Qredits maandlasten'!$C$8))</f>
        <v/>
      </c>
      <c r="L215" s="128" t="str">
        <f t="shared" si="17"/>
        <v/>
      </c>
      <c r="M215" s="128" t="str">
        <f t="shared" si="15"/>
        <v/>
      </c>
      <c r="N215" s="127"/>
      <c r="O215" s="129" t="str">
        <f>IF($B215="","",'Qredits maandlasten'!$C$8)</f>
        <v/>
      </c>
      <c r="P215" s="129" t="str">
        <f>IF($B215="","",'Qredits maandlasten'!$C$8*(POWER(1+'Qredits maandlasten'!$C$8,$B215-1+1)))</f>
        <v/>
      </c>
      <c r="Q215" s="129" t="str">
        <f t="shared" si="18"/>
        <v/>
      </c>
      <c r="R215" s="127"/>
      <c r="S215" s="128" t="str">
        <f t="shared" si="16"/>
        <v/>
      </c>
      <c r="T215" s="128" t="str">
        <f>IF(S215="","",J215/(POWER(1+'Qredits maandlasten'!$C$8,$B215-1+1)))</f>
        <v/>
      </c>
      <c r="U215" s="130" t="str">
        <f t="shared" si="19"/>
        <v/>
      </c>
      <c r="V215" s="128" t="str">
        <f>IF($B215="","",K215/(POWER(1+'Qredits maandlasten'!$C$8,$B215-1+1)))</f>
        <v/>
      </c>
      <c r="W215" s="127"/>
    </row>
    <row r="216" spans="1:23" s="132" customFormat="1" x14ac:dyDescent="0.2">
      <c r="A216" s="123"/>
      <c r="B216" s="124" t="str">
        <f>IF($B215="","",IF($B215+1&gt;'Qredits maandlasten'!$C$4,"",Schema!B215+1))</f>
        <v/>
      </c>
      <c r="C216" s="125" t="str">
        <f>IF($B215="","",IF($B215+1&gt;'Qredits maandlasten'!$C$4,"",EOMONTH(C215,0)+1))</f>
        <v/>
      </c>
      <c r="D216" s="123"/>
      <c r="E216" s="125" t="str">
        <f>IF($B215="","",IF($B215+1&gt;'Qredits maandlasten'!$C$4,"",F215+1))</f>
        <v/>
      </c>
      <c r="F216" s="125" t="str">
        <f>IF($B215="","",IF($B215+1&gt;'Qredits maandlasten'!$C$4,"",EOMONTH(E216,0)))</f>
        <v/>
      </c>
      <c r="G216" s="126" t="str">
        <f>IF($B215="","",IF($B215+1&gt;'Qredits maandlasten'!$C$4,"",(_xlfn.DAYS(F216,E216)+1)/DAY(F216)))</f>
        <v/>
      </c>
      <c r="H216" s="127"/>
      <c r="I216" s="128" t="str">
        <f>IF($B215="","",IF($B215+1&gt;'Qredits maandlasten'!$C$4,"",I215-J215))</f>
        <v/>
      </c>
      <c r="J216" s="128" t="str">
        <f>IF($B215="","",IF($B215+1&gt;'Qredits maandlasten'!$C$4,"",IF(B215&lt;'Qredits maandlasten'!$C$11-1,0,IF('Qredits maandlasten'!$C$10=dropdowns!$A$121,'Qredits maandlasten'!$J$3,IF('Qredits maandlasten'!$C$10=dropdowns!$A$120,IFERROR('Qredits maandlasten'!$J$3-K216,0),0)))))</f>
        <v/>
      </c>
      <c r="K216" s="128" t="str">
        <f>IF($B215="","",IF($B215+1&gt;'Qredits maandlasten'!$C$4,"",G216*I216*'Qredits maandlasten'!$C$8))</f>
        <v/>
      </c>
      <c r="L216" s="128" t="str">
        <f t="shared" si="17"/>
        <v/>
      </c>
      <c r="M216" s="128" t="str">
        <f t="shared" si="15"/>
        <v/>
      </c>
      <c r="N216" s="127"/>
      <c r="O216" s="129" t="str">
        <f>IF($B216="","",'Qredits maandlasten'!$C$8)</f>
        <v/>
      </c>
      <c r="P216" s="129" t="str">
        <f>IF($B216="","",'Qredits maandlasten'!$C$8*(POWER(1+'Qredits maandlasten'!$C$8,$B216-1+1)))</f>
        <v/>
      </c>
      <c r="Q216" s="129" t="str">
        <f t="shared" si="18"/>
        <v/>
      </c>
      <c r="R216" s="127"/>
      <c r="S216" s="128" t="str">
        <f t="shared" si="16"/>
        <v/>
      </c>
      <c r="T216" s="128" t="str">
        <f>IF(S216="","",J216/(POWER(1+'Qredits maandlasten'!$C$8,$B216-1+1)))</f>
        <v/>
      </c>
      <c r="U216" s="130" t="str">
        <f t="shared" si="19"/>
        <v/>
      </c>
      <c r="V216" s="128" t="str">
        <f>IF($B216="","",K216/(POWER(1+'Qredits maandlasten'!$C$8,$B216-1+1)))</f>
        <v/>
      </c>
      <c r="W216" s="127"/>
    </row>
    <row r="217" spans="1:23" s="132" customFormat="1" x14ac:dyDescent="0.2">
      <c r="A217" s="123"/>
      <c r="B217" s="124" t="str">
        <f>IF($B216="","",IF($B216+1&gt;'Qredits maandlasten'!$C$4,"",Schema!B216+1))</f>
        <v/>
      </c>
      <c r="C217" s="125" t="str">
        <f>IF($B216="","",IF($B216+1&gt;'Qredits maandlasten'!$C$4,"",EOMONTH(C216,0)+1))</f>
        <v/>
      </c>
      <c r="D217" s="123"/>
      <c r="E217" s="125" t="str">
        <f>IF($B216="","",IF($B216+1&gt;'Qredits maandlasten'!$C$4,"",F216+1))</f>
        <v/>
      </c>
      <c r="F217" s="125" t="str">
        <f>IF($B216="","",IF($B216+1&gt;'Qredits maandlasten'!$C$4,"",EOMONTH(E217,0)))</f>
        <v/>
      </c>
      <c r="G217" s="126" t="str">
        <f>IF($B216="","",IF($B216+1&gt;'Qredits maandlasten'!$C$4,"",(_xlfn.DAYS(F217,E217)+1)/DAY(F217)))</f>
        <v/>
      </c>
      <c r="H217" s="127"/>
      <c r="I217" s="128" t="str">
        <f>IF($B216="","",IF($B216+1&gt;'Qredits maandlasten'!$C$4,"",I216-J216))</f>
        <v/>
      </c>
      <c r="J217" s="128" t="str">
        <f>IF($B216="","",IF($B216+1&gt;'Qredits maandlasten'!$C$4,"",IF(B216&lt;'Qredits maandlasten'!$C$11-1,0,IF('Qredits maandlasten'!$C$10=dropdowns!$A$121,'Qredits maandlasten'!$J$3,IF('Qredits maandlasten'!$C$10=dropdowns!$A$120,IFERROR('Qredits maandlasten'!$J$3-K217,0),0)))))</f>
        <v/>
      </c>
      <c r="K217" s="128" t="str">
        <f>IF($B216="","",IF($B216+1&gt;'Qredits maandlasten'!$C$4,"",G217*I217*'Qredits maandlasten'!$C$8))</f>
        <v/>
      </c>
      <c r="L217" s="128" t="str">
        <f t="shared" si="17"/>
        <v/>
      </c>
      <c r="M217" s="128" t="str">
        <f t="shared" si="15"/>
        <v/>
      </c>
      <c r="N217" s="127"/>
      <c r="O217" s="129" t="str">
        <f>IF($B217="","",'Qredits maandlasten'!$C$8)</f>
        <v/>
      </c>
      <c r="P217" s="129" t="str">
        <f>IF($B217="","",'Qredits maandlasten'!$C$8*(POWER(1+'Qredits maandlasten'!$C$8,$B217-1+1)))</f>
        <v/>
      </c>
      <c r="Q217" s="129" t="str">
        <f t="shared" si="18"/>
        <v/>
      </c>
      <c r="R217" s="127"/>
      <c r="S217" s="128" t="str">
        <f t="shared" si="16"/>
        <v/>
      </c>
      <c r="T217" s="128" t="str">
        <f>IF(S217="","",J217/(POWER(1+'Qredits maandlasten'!$C$8,$B217-1+1)))</f>
        <v/>
      </c>
      <c r="U217" s="130" t="str">
        <f t="shared" si="19"/>
        <v/>
      </c>
      <c r="V217" s="128" t="str">
        <f>IF($B217="","",K217/(POWER(1+'Qredits maandlasten'!$C$8,$B217-1+1)))</f>
        <v/>
      </c>
      <c r="W217" s="127"/>
    </row>
    <row r="218" spans="1:23" s="132" customFormat="1" x14ac:dyDescent="0.2">
      <c r="A218" s="123"/>
      <c r="B218" s="124" t="str">
        <f>IF($B217="","",IF($B217+1&gt;'Qredits maandlasten'!$C$4,"",Schema!B217+1))</f>
        <v/>
      </c>
      <c r="C218" s="125" t="str">
        <f>IF($B217="","",IF($B217+1&gt;'Qredits maandlasten'!$C$4,"",EOMONTH(C217,0)+1))</f>
        <v/>
      </c>
      <c r="D218" s="123"/>
      <c r="E218" s="125" t="str">
        <f>IF($B217="","",IF($B217+1&gt;'Qredits maandlasten'!$C$4,"",F217+1))</f>
        <v/>
      </c>
      <c r="F218" s="125" t="str">
        <f>IF($B217="","",IF($B217+1&gt;'Qredits maandlasten'!$C$4,"",EOMONTH(E218,0)))</f>
        <v/>
      </c>
      <c r="G218" s="126" t="str">
        <f>IF($B217="","",IF($B217+1&gt;'Qredits maandlasten'!$C$4,"",(_xlfn.DAYS(F218,E218)+1)/DAY(F218)))</f>
        <v/>
      </c>
      <c r="H218" s="127"/>
      <c r="I218" s="128" t="str">
        <f>IF($B217="","",IF($B217+1&gt;'Qredits maandlasten'!$C$4,"",I217-J217))</f>
        <v/>
      </c>
      <c r="J218" s="128" t="str">
        <f>IF($B217="","",IF($B217+1&gt;'Qredits maandlasten'!$C$4,"",IF(B217&lt;'Qredits maandlasten'!$C$11-1,0,IF('Qredits maandlasten'!$C$10=dropdowns!$A$121,'Qredits maandlasten'!$J$3,IF('Qredits maandlasten'!$C$10=dropdowns!$A$120,IFERROR('Qredits maandlasten'!$J$3-K218,0),0)))))</f>
        <v/>
      </c>
      <c r="K218" s="128" t="str">
        <f>IF($B217="","",IF($B217+1&gt;'Qredits maandlasten'!$C$4,"",G218*I218*'Qredits maandlasten'!$C$8))</f>
        <v/>
      </c>
      <c r="L218" s="128" t="str">
        <f t="shared" si="17"/>
        <v/>
      </c>
      <c r="M218" s="128" t="str">
        <f t="shared" si="15"/>
        <v/>
      </c>
      <c r="N218" s="127"/>
      <c r="O218" s="129" t="str">
        <f>IF($B218="","",'Qredits maandlasten'!$C$8)</f>
        <v/>
      </c>
      <c r="P218" s="129" t="str">
        <f>IF($B218="","",'Qredits maandlasten'!$C$8*(POWER(1+'Qredits maandlasten'!$C$8,$B218-1+1)))</f>
        <v/>
      </c>
      <c r="Q218" s="129" t="str">
        <f t="shared" si="18"/>
        <v/>
      </c>
      <c r="R218" s="127"/>
      <c r="S218" s="128" t="str">
        <f t="shared" si="16"/>
        <v/>
      </c>
      <c r="T218" s="128" t="str">
        <f>IF(S218="","",J218/(POWER(1+'Qredits maandlasten'!$C$8,$B218-1+1)))</f>
        <v/>
      </c>
      <c r="U218" s="130" t="str">
        <f t="shared" si="19"/>
        <v/>
      </c>
      <c r="V218" s="128" t="str">
        <f>IF($B218="","",K218/(POWER(1+'Qredits maandlasten'!$C$8,$B218-1+1)))</f>
        <v/>
      </c>
      <c r="W218" s="127"/>
    </row>
    <row r="219" spans="1:23" s="132" customFormat="1" x14ac:dyDescent="0.2">
      <c r="A219" s="123"/>
      <c r="B219" s="124" t="str">
        <f>IF($B218="","",IF($B218+1&gt;'Qredits maandlasten'!$C$4,"",Schema!B218+1))</f>
        <v/>
      </c>
      <c r="C219" s="125" t="str">
        <f>IF($B218="","",IF($B218+1&gt;'Qredits maandlasten'!$C$4,"",EOMONTH(C218,0)+1))</f>
        <v/>
      </c>
      <c r="D219" s="123"/>
      <c r="E219" s="125" t="str">
        <f>IF($B218="","",IF($B218+1&gt;'Qredits maandlasten'!$C$4,"",F218+1))</f>
        <v/>
      </c>
      <c r="F219" s="125" t="str">
        <f>IF($B218="","",IF($B218+1&gt;'Qredits maandlasten'!$C$4,"",EOMONTH(E219,0)))</f>
        <v/>
      </c>
      <c r="G219" s="126" t="str">
        <f>IF($B218="","",IF($B218+1&gt;'Qredits maandlasten'!$C$4,"",(_xlfn.DAYS(F219,E219)+1)/DAY(F219)))</f>
        <v/>
      </c>
      <c r="H219" s="127"/>
      <c r="I219" s="128" t="str">
        <f>IF($B218="","",IF($B218+1&gt;'Qredits maandlasten'!$C$4,"",I218-J218))</f>
        <v/>
      </c>
      <c r="J219" s="128" t="str">
        <f>IF($B218="","",IF($B218+1&gt;'Qredits maandlasten'!$C$4,"",IF(B218&lt;'Qredits maandlasten'!$C$11-1,0,IF('Qredits maandlasten'!$C$10=dropdowns!$A$121,'Qredits maandlasten'!$J$3,IF('Qredits maandlasten'!$C$10=dropdowns!$A$120,IFERROR('Qredits maandlasten'!$J$3-K219,0),0)))))</f>
        <v/>
      </c>
      <c r="K219" s="128" t="str">
        <f>IF($B218="","",IF($B218+1&gt;'Qredits maandlasten'!$C$4,"",G219*I219*'Qredits maandlasten'!$C$8))</f>
        <v/>
      </c>
      <c r="L219" s="128" t="str">
        <f t="shared" si="17"/>
        <v/>
      </c>
      <c r="M219" s="128" t="str">
        <f t="shared" si="15"/>
        <v/>
      </c>
      <c r="N219" s="127"/>
      <c r="O219" s="129" t="str">
        <f>IF($B219="","",'Qredits maandlasten'!$C$8)</f>
        <v/>
      </c>
      <c r="P219" s="129" t="str">
        <f>IF($B219="","",'Qredits maandlasten'!$C$8*(POWER(1+'Qredits maandlasten'!$C$8,$B219-1+1)))</f>
        <v/>
      </c>
      <c r="Q219" s="129" t="str">
        <f t="shared" si="18"/>
        <v/>
      </c>
      <c r="R219" s="127"/>
      <c r="S219" s="128" t="str">
        <f t="shared" si="16"/>
        <v/>
      </c>
      <c r="T219" s="128" t="str">
        <f>IF(S219="","",J219/(POWER(1+'Qredits maandlasten'!$C$8,$B219-1+1)))</f>
        <v/>
      </c>
      <c r="U219" s="130" t="str">
        <f t="shared" si="19"/>
        <v/>
      </c>
      <c r="V219" s="128" t="str">
        <f>IF($B219="","",K219/(POWER(1+'Qredits maandlasten'!$C$8,$B219-1+1)))</f>
        <v/>
      </c>
      <c r="W219" s="127"/>
    </row>
    <row r="220" spans="1:23" s="132" customFormat="1" x14ac:dyDescent="0.2">
      <c r="A220" s="123"/>
      <c r="B220" s="124" t="str">
        <f>IF($B219="","",IF($B219+1&gt;'Qredits maandlasten'!$C$4,"",Schema!B219+1))</f>
        <v/>
      </c>
      <c r="C220" s="125" t="str">
        <f>IF($B219="","",IF($B219+1&gt;'Qredits maandlasten'!$C$4,"",EOMONTH(C219,0)+1))</f>
        <v/>
      </c>
      <c r="D220" s="123"/>
      <c r="E220" s="125" t="str">
        <f>IF($B219="","",IF($B219+1&gt;'Qredits maandlasten'!$C$4,"",F219+1))</f>
        <v/>
      </c>
      <c r="F220" s="125" t="str">
        <f>IF($B219="","",IF($B219+1&gt;'Qredits maandlasten'!$C$4,"",EOMONTH(E220,0)))</f>
        <v/>
      </c>
      <c r="G220" s="126" t="str">
        <f>IF($B219="","",IF($B219+1&gt;'Qredits maandlasten'!$C$4,"",(_xlfn.DAYS(F220,E220)+1)/DAY(F220)))</f>
        <v/>
      </c>
      <c r="H220" s="127"/>
      <c r="I220" s="128" t="str">
        <f>IF($B219="","",IF($B219+1&gt;'Qredits maandlasten'!$C$4,"",I219-J219))</f>
        <v/>
      </c>
      <c r="J220" s="128" t="str">
        <f>IF($B219="","",IF($B219+1&gt;'Qredits maandlasten'!$C$4,"",IF(B219&lt;'Qredits maandlasten'!$C$11-1,0,IF('Qredits maandlasten'!$C$10=dropdowns!$A$121,'Qredits maandlasten'!$J$3,IF('Qredits maandlasten'!$C$10=dropdowns!$A$120,IFERROR('Qredits maandlasten'!$J$3-K220,0),0)))))</f>
        <v/>
      </c>
      <c r="K220" s="128" t="str">
        <f>IF($B219="","",IF($B219+1&gt;'Qredits maandlasten'!$C$4,"",G220*I220*'Qredits maandlasten'!$C$8))</f>
        <v/>
      </c>
      <c r="L220" s="128" t="str">
        <f t="shared" si="17"/>
        <v/>
      </c>
      <c r="M220" s="128" t="str">
        <f t="shared" si="15"/>
        <v/>
      </c>
      <c r="N220" s="127"/>
      <c r="O220" s="129" t="str">
        <f>IF($B220="","",'Qredits maandlasten'!$C$8)</f>
        <v/>
      </c>
      <c r="P220" s="129" t="str">
        <f>IF($B220="","",'Qredits maandlasten'!$C$8*(POWER(1+'Qredits maandlasten'!$C$8,$B220-1+1)))</f>
        <v/>
      </c>
      <c r="Q220" s="129" t="str">
        <f t="shared" si="18"/>
        <v/>
      </c>
      <c r="R220" s="127"/>
      <c r="S220" s="128" t="str">
        <f t="shared" si="16"/>
        <v/>
      </c>
      <c r="T220" s="128" t="str">
        <f>IF(S220="","",J220/(POWER(1+'Qredits maandlasten'!$C$8,$B220-1+1)))</f>
        <v/>
      </c>
      <c r="U220" s="130" t="str">
        <f t="shared" si="19"/>
        <v/>
      </c>
      <c r="V220" s="128" t="str">
        <f>IF($B220="","",K220/(POWER(1+'Qredits maandlasten'!$C$8,$B220-1+1)))</f>
        <v/>
      </c>
      <c r="W220" s="127"/>
    </row>
    <row r="221" spans="1:23" s="132" customFormat="1" x14ac:dyDescent="0.2">
      <c r="A221" s="123"/>
      <c r="B221" s="124" t="str">
        <f>IF($B220="","",IF($B220+1&gt;'Qredits maandlasten'!$C$4,"",Schema!B220+1))</f>
        <v/>
      </c>
      <c r="C221" s="125" t="str">
        <f>IF($B220="","",IF($B220+1&gt;'Qredits maandlasten'!$C$4,"",EOMONTH(C220,0)+1))</f>
        <v/>
      </c>
      <c r="D221" s="123"/>
      <c r="E221" s="125" t="str">
        <f>IF($B220="","",IF($B220+1&gt;'Qredits maandlasten'!$C$4,"",F220+1))</f>
        <v/>
      </c>
      <c r="F221" s="125" t="str">
        <f>IF($B220="","",IF($B220+1&gt;'Qredits maandlasten'!$C$4,"",EOMONTH(E221,0)))</f>
        <v/>
      </c>
      <c r="G221" s="126" t="str">
        <f>IF($B220="","",IF($B220+1&gt;'Qredits maandlasten'!$C$4,"",(_xlfn.DAYS(F221,E221)+1)/DAY(F221)))</f>
        <v/>
      </c>
      <c r="H221" s="127"/>
      <c r="I221" s="128" t="str">
        <f>IF($B220="","",IF($B220+1&gt;'Qredits maandlasten'!$C$4,"",I220-J220))</f>
        <v/>
      </c>
      <c r="J221" s="128" t="str">
        <f>IF($B220="","",IF($B220+1&gt;'Qredits maandlasten'!$C$4,"",IF(B220&lt;'Qredits maandlasten'!$C$11-1,0,IF('Qredits maandlasten'!$C$10=dropdowns!$A$121,'Qredits maandlasten'!$J$3,IF('Qredits maandlasten'!$C$10=dropdowns!$A$120,IFERROR('Qredits maandlasten'!$J$3-K221,0),0)))))</f>
        <v/>
      </c>
      <c r="K221" s="128" t="str">
        <f>IF($B220="","",IF($B220+1&gt;'Qredits maandlasten'!$C$4,"",G221*I221*'Qredits maandlasten'!$C$8))</f>
        <v/>
      </c>
      <c r="L221" s="128" t="str">
        <f t="shared" si="17"/>
        <v/>
      </c>
      <c r="M221" s="128" t="str">
        <f t="shared" si="15"/>
        <v/>
      </c>
      <c r="N221" s="127"/>
      <c r="O221" s="129" t="str">
        <f>IF($B221="","",'Qredits maandlasten'!$C$8)</f>
        <v/>
      </c>
      <c r="P221" s="129" t="str">
        <f>IF($B221="","",'Qredits maandlasten'!$C$8*(POWER(1+'Qredits maandlasten'!$C$8,$B221-1+1)))</f>
        <v/>
      </c>
      <c r="Q221" s="129" t="str">
        <f t="shared" si="18"/>
        <v/>
      </c>
      <c r="R221" s="127"/>
      <c r="S221" s="128" t="str">
        <f t="shared" si="16"/>
        <v/>
      </c>
      <c r="T221" s="128" t="str">
        <f>IF(S221="","",J221/(POWER(1+'Qredits maandlasten'!$C$8,$B221-1+1)))</f>
        <v/>
      </c>
      <c r="U221" s="130" t="str">
        <f t="shared" si="19"/>
        <v/>
      </c>
      <c r="V221" s="128" t="str">
        <f>IF($B221="","",K221/(POWER(1+'Qredits maandlasten'!$C$8,$B221-1+1)))</f>
        <v/>
      </c>
      <c r="W221" s="127"/>
    </row>
    <row r="222" spans="1:23" s="132" customFormat="1" x14ac:dyDescent="0.2">
      <c r="A222" s="123"/>
      <c r="B222" s="124" t="str">
        <f>IF($B221="","",IF($B221+1&gt;'Qredits maandlasten'!$C$4,"",Schema!B221+1))</f>
        <v/>
      </c>
      <c r="C222" s="125" t="str">
        <f>IF($B221="","",IF($B221+1&gt;'Qredits maandlasten'!$C$4,"",EOMONTH(C221,0)+1))</f>
        <v/>
      </c>
      <c r="D222" s="123"/>
      <c r="E222" s="125" t="str">
        <f>IF($B221="","",IF($B221+1&gt;'Qredits maandlasten'!$C$4,"",F221+1))</f>
        <v/>
      </c>
      <c r="F222" s="125" t="str">
        <f>IF($B221="","",IF($B221+1&gt;'Qredits maandlasten'!$C$4,"",EOMONTH(E222,0)))</f>
        <v/>
      </c>
      <c r="G222" s="126" t="str">
        <f>IF($B221="","",IF($B221+1&gt;'Qredits maandlasten'!$C$4,"",(_xlfn.DAYS(F222,E222)+1)/DAY(F222)))</f>
        <v/>
      </c>
      <c r="H222" s="127"/>
      <c r="I222" s="128" t="str">
        <f>IF($B221="","",IF($B221+1&gt;'Qredits maandlasten'!$C$4,"",I221-J221))</f>
        <v/>
      </c>
      <c r="J222" s="128" t="str">
        <f>IF($B221="","",IF($B221+1&gt;'Qredits maandlasten'!$C$4,"",IF(B221&lt;'Qredits maandlasten'!$C$11-1,0,IF('Qredits maandlasten'!$C$10=dropdowns!$A$121,'Qredits maandlasten'!$J$3,IF('Qredits maandlasten'!$C$10=dropdowns!$A$120,IFERROR('Qredits maandlasten'!$J$3-K222,0),0)))))</f>
        <v/>
      </c>
      <c r="K222" s="128" t="str">
        <f>IF($B221="","",IF($B221+1&gt;'Qredits maandlasten'!$C$4,"",G222*I222*'Qredits maandlasten'!$C$8))</f>
        <v/>
      </c>
      <c r="L222" s="128" t="str">
        <f t="shared" si="17"/>
        <v/>
      </c>
      <c r="M222" s="128" t="str">
        <f t="shared" si="15"/>
        <v/>
      </c>
      <c r="N222" s="127"/>
      <c r="O222" s="129" t="str">
        <f>IF($B222="","",'Qredits maandlasten'!$C$8)</f>
        <v/>
      </c>
      <c r="P222" s="129" t="str">
        <f>IF($B222="","",'Qredits maandlasten'!$C$8*(POWER(1+'Qredits maandlasten'!$C$8,$B222-1+1)))</f>
        <v/>
      </c>
      <c r="Q222" s="129" t="str">
        <f t="shared" si="18"/>
        <v/>
      </c>
      <c r="R222" s="127"/>
      <c r="S222" s="128" t="str">
        <f t="shared" si="16"/>
        <v/>
      </c>
      <c r="T222" s="128" t="str">
        <f>IF(S222="","",J222/(POWER(1+'Qredits maandlasten'!$C$8,$B222-1+1)))</f>
        <v/>
      </c>
      <c r="U222" s="130" t="str">
        <f t="shared" si="19"/>
        <v/>
      </c>
      <c r="V222" s="128" t="str">
        <f>IF($B222="","",K222/(POWER(1+'Qredits maandlasten'!$C$8,$B222-1+1)))</f>
        <v/>
      </c>
      <c r="W222" s="127"/>
    </row>
    <row r="223" spans="1:23" s="132" customFormat="1" x14ac:dyDescent="0.2">
      <c r="A223" s="123"/>
      <c r="B223" s="124" t="str">
        <f>IF($B222="","",IF($B222+1&gt;'Qredits maandlasten'!$C$4,"",Schema!B222+1))</f>
        <v/>
      </c>
      <c r="C223" s="125" t="str">
        <f>IF($B222="","",IF($B222+1&gt;'Qredits maandlasten'!$C$4,"",EOMONTH(C222,0)+1))</f>
        <v/>
      </c>
      <c r="D223" s="123"/>
      <c r="E223" s="125" t="str">
        <f>IF($B222="","",IF($B222+1&gt;'Qredits maandlasten'!$C$4,"",F222+1))</f>
        <v/>
      </c>
      <c r="F223" s="125" t="str">
        <f>IF($B222="","",IF($B222+1&gt;'Qredits maandlasten'!$C$4,"",EOMONTH(E223,0)))</f>
        <v/>
      </c>
      <c r="G223" s="126" t="str">
        <f>IF($B222="","",IF($B222+1&gt;'Qredits maandlasten'!$C$4,"",(_xlfn.DAYS(F223,E223)+1)/DAY(F223)))</f>
        <v/>
      </c>
      <c r="H223" s="127"/>
      <c r="I223" s="128" t="str">
        <f>IF($B222="","",IF($B222+1&gt;'Qredits maandlasten'!$C$4,"",I222-J222))</f>
        <v/>
      </c>
      <c r="J223" s="128" t="str">
        <f>IF($B222="","",IF($B222+1&gt;'Qredits maandlasten'!$C$4,"",IF(B222&lt;'Qredits maandlasten'!$C$11-1,0,IF('Qredits maandlasten'!$C$10=dropdowns!$A$121,'Qredits maandlasten'!$J$3,IF('Qredits maandlasten'!$C$10=dropdowns!$A$120,IFERROR('Qredits maandlasten'!$J$3-K223,0),0)))))</f>
        <v/>
      </c>
      <c r="K223" s="128" t="str">
        <f>IF($B222="","",IF($B222+1&gt;'Qredits maandlasten'!$C$4,"",G223*I223*'Qredits maandlasten'!$C$8))</f>
        <v/>
      </c>
      <c r="L223" s="128" t="str">
        <f t="shared" si="17"/>
        <v/>
      </c>
      <c r="M223" s="128" t="str">
        <f t="shared" si="15"/>
        <v/>
      </c>
      <c r="N223" s="127"/>
      <c r="O223" s="129" t="str">
        <f>IF($B223="","",'Qredits maandlasten'!$C$8)</f>
        <v/>
      </c>
      <c r="P223" s="129" t="str">
        <f>IF($B223="","",'Qredits maandlasten'!$C$8*(POWER(1+'Qredits maandlasten'!$C$8,$B223-1+1)))</f>
        <v/>
      </c>
      <c r="Q223" s="129" t="str">
        <f t="shared" si="18"/>
        <v/>
      </c>
      <c r="R223" s="127"/>
      <c r="S223" s="128" t="str">
        <f t="shared" si="16"/>
        <v/>
      </c>
      <c r="T223" s="128" t="str">
        <f>IF(S223="","",J223/(POWER(1+'Qredits maandlasten'!$C$8,$B223-1+1)))</f>
        <v/>
      </c>
      <c r="U223" s="130" t="str">
        <f t="shared" si="19"/>
        <v/>
      </c>
      <c r="V223" s="128" t="str">
        <f>IF($B223="","",K223/(POWER(1+'Qredits maandlasten'!$C$8,$B223-1+1)))</f>
        <v/>
      </c>
      <c r="W223" s="127"/>
    </row>
    <row r="224" spans="1:23" s="132" customFormat="1" x14ac:dyDescent="0.2">
      <c r="A224" s="123"/>
      <c r="B224" s="124" t="str">
        <f>IF($B223="","",IF($B223+1&gt;'Qredits maandlasten'!$C$4,"",Schema!B223+1))</f>
        <v/>
      </c>
      <c r="C224" s="125" t="str">
        <f>IF($B223="","",IF($B223+1&gt;'Qredits maandlasten'!$C$4,"",EOMONTH(C223,0)+1))</f>
        <v/>
      </c>
      <c r="D224" s="123"/>
      <c r="E224" s="125" t="str">
        <f>IF($B223="","",IF($B223+1&gt;'Qredits maandlasten'!$C$4,"",F223+1))</f>
        <v/>
      </c>
      <c r="F224" s="125" t="str">
        <f>IF($B223="","",IF($B223+1&gt;'Qredits maandlasten'!$C$4,"",EOMONTH(E224,0)))</f>
        <v/>
      </c>
      <c r="G224" s="126" t="str">
        <f>IF($B223="","",IF($B223+1&gt;'Qredits maandlasten'!$C$4,"",(_xlfn.DAYS(F224,E224)+1)/DAY(F224)))</f>
        <v/>
      </c>
      <c r="H224" s="127"/>
      <c r="I224" s="128" t="str">
        <f>IF($B223="","",IF($B223+1&gt;'Qredits maandlasten'!$C$4,"",I223-J223))</f>
        <v/>
      </c>
      <c r="J224" s="128" t="str">
        <f>IF($B223="","",IF($B223+1&gt;'Qredits maandlasten'!$C$4,"",IF(B223&lt;'Qredits maandlasten'!$C$11-1,0,IF('Qredits maandlasten'!$C$10=dropdowns!$A$121,'Qredits maandlasten'!$J$3,IF('Qredits maandlasten'!$C$10=dropdowns!$A$120,IFERROR('Qredits maandlasten'!$J$3-K224,0),0)))))</f>
        <v/>
      </c>
      <c r="K224" s="128" t="str">
        <f>IF($B223="","",IF($B223+1&gt;'Qredits maandlasten'!$C$4,"",G224*I224*'Qredits maandlasten'!$C$8))</f>
        <v/>
      </c>
      <c r="L224" s="128" t="str">
        <f t="shared" si="17"/>
        <v/>
      </c>
      <c r="M224" s="128" t="str">
        <f t="shared" si="15"/>
        <v/>
      </c>
      <c r="N224" s="127"/>
      <c r="O224" s="129" t="str">
        <f>IF($B224="","",'Qredits maandlasten'!$C$8)</f>
        <v/>
      </c>
      <c r="P224" s="129" t="str">
        <f>IF($B224="","",'Qredits maandlasten'!$C$8*(POWER(1+'Qredits maandlasten'!$C$8,$B224-1+1)))</f>
        <v/>
      </c>
      <c r="Q224" s="129" t="str">
        <f t="shared" si="18"/>
        <v/>
      </c>
      <c r="R224" s="127"/>
      <c r="S224" s="128" t="str">
        <f t="shared" si="16"/>
        <v/>
      </c>
      <c r="T224" s="128" t="str">
        <f>IF(S224="","",J224/(POWER(1+'Qredits maandlasten'!$C$8,$B224-1+1)))</f>
        <v/>
      </c>
      <c r="U224" s="130" t="str">
        <f t="shared" si="19"/>
        <v/>
      </c>
      <c r="V224" s="128" t="str">
        <f>IF($B224="","",K224/(POWER(1+'Qredits maandlasten'!$C$8,$B224-1+1)))</f>
        <v/>
      </c>
      <c r="W224" s="127"/>
    </row>
    <row r="225" spans="1:23" s="132" customFormat="1" x14ac:dyDescent="0.2">
      <c r="A225" s="123"/>
      <c r="B225" s="124" t="str">
        <f>IF($B224="","",IF($B224+1&gt;'Qredits maandlasten'!$C$4,"",Schema!B224+1))</f>
        <v/>
      </c>
      <c r="C225" s="125" t="str">
        <f>IF($B224="","",IF($B224+1&gt;'Qredits maandlasten'!$C$4,"",EOMONTH(C224,0)+1))</f>
        <v/>
      </c>
      <c r="D225" s="123"/>
      <c r="E225" s="125" t="str">
        <f>IF($B224="","",IF($B224+1&gt;'Qredits maandlasten'!$C$4,"",F224+1))</f>
        <v/>
      </c>
      <c r="F225" s="125" t="str">
        <f>IF($B224="","",IF($B224+1&gt;'Qredits maandlasten'!$C$4,"",EOMONTH(E225,0)))</f>
        <v/>
      </c>
      <c r="G225" s="126" t="str">
        <f>IF($B224="","",IF($B224+1&gt;'Qredits maandlasten'!$C$4,"",(_xlfn.DAYS(F225,E225)+1)/DAY(F225)))</f>
        <v/>
      </c>
      <c r="H225" s="127"/>
      <c r="I225" s="128" t="str">
        <f>IF($B224="","",IF($B224+1&gt;'Qredits maandlasten'!$C$4,"",I224-J224))</f>
        <v/>
      </c>
      <c r="J225" s="128" t="str">
        <f>IF($B224="","",IF($B224+1&gt;'Qredits maandlasten'!$C$4,"",IF(B224&lt;'Qredits maandlasten'!$C$11-1,0,IF('Qredits maandlasten'!$C$10=dropdowns!$A$121,'Qredits maandlasten'!$J$3,IF('Qredits maandlasten'!$C$10=dropdowns!$A$120,IFERROR('Qredits maandlasten'!$J$3-K225,0),0)))))</f>
        <v/>
      </c>
      <c r="K225" s="128" t="str">
        <f>IF($B224="","",IF($B224+1&gt;'Qredits maandlasten'!$C$4,"",G225*I225*'Qredits maandlasten'!$C$8))</f>
        <v/>
      </c>
      <c r="L225" s="128" t="str">
        <f t="shared" si="17"/>
        <v/>
      </c>
      <c r="M225" s="128" t="str">
        <f t="shared" si="15"/>
        <v/>
      </c>
      <c r="N225" s="127"/>
      <c r="O225" s="129" t="str">
        <f>IF($B225="","",'Qredits maandlasten'!$C$8)</f>
        <v/>
      </c>
      <c r="P225" s="129" t="str">
        <f>IF($B225="","",'Qredits maandlasten'!$C$8*(POWER(1+'Qredits maandlasten'!$C$8,$B225-1+1)))</f>
        <v/>
      </c>
      <c r="Q225" s="129" t="str">
        <f t="shared" si="18"/>
        <v/>
      </c>
      <c r="R225" s="127"/>
      <c r="S225" s="128" t="str">
        <f t="shared" si="16"/>
        <v/>
      </c>
      <c r="T225" s="128" t="str">
        <f>IF(S225="","",J225/(POWER(1+'Qredits maandlasten'!$C$8,$B225-1+1)))</f>
        <v/>
      </c>
      <c r="U225" s="130" t="str">
        <f t="shared" si="19"/>
        <v/>
      </c>
      <c r="V225" s="128" t="str">
        <f>IF($B225="","",K225/(POWER(1+'Qredits maandlasten'!$C$8,$B225-1+1)))</f>
        <v/>
      </c>
      <c r="W225" s="127"/>
    </row>
    <row r="226" spans="1:23" s="132" customFormat="1" x14ac:dyDescent="0.2">
      <c r="A226" s="123"/>
      <c r="B226" s="124" t="str">
        <f>IF($B225="","",IF($B225+1&gt;'Qredits maandlasten'!$C$4,"",Schema!B225+1))</f>
        <v/>
      </c>
      <c r="C226" s="125" t="str">
        <f>IF($B225="","",IF($B225+1&gt;'Qredits maandlasten'!$C$4,"",EOMONTH(C225,0)+1))</f>
        <v/>
      </c>
      <c r="D226" s="123"/>
      <c r="E226" s="125" t="str">
        <f>IF($B225="","",IF($B225+1&gt;'Qredits maandlasten'!$C$4,"",F225+1))</f>
        <v/>
      </c>
      <c r="F226" s="125" t="str">
        <f>IF($B225="","",IF($B225+1&gt;'Qredits maandlasten'!$C$4,"",EOMONTH(E226,0)))</f>
        <v/>
      </c>
      <c r="G226" s="126" t="str">
        <f>IF($B225="","",IF($B225+1&gt;'Qredits maandlasten'!$C$4,"",(_xlfn.DAYS(F226,E226)+1)/DAY(F226)))</f>
        <v/>
      </c>
      <c r="H226" s="127"/>
      <c r="I226" s="128" t="str">
        <f>IF($B225="","",IF($B225+1&gt;'Qredits maandlasten'!$C$4,"",I225-J225))</f>
        <v/>
      </c>
      <c r="J226" s="128" t="str">
        <f>IF($B225="","",IF($B225+1&gt;'Qredits maandlasten'!$C$4,"",IF(B225&lt;'Qredits maandlasten'!$C$11-1,0,IF('Qredits maandlasten'!$C$10=dropdowns!$A$121,'Qredits maandlasten'!$J$3,IF('Qredits maandlasten'!$C$10=dropdowns!$A$120,IFERROR('Qredits maandlasten'!$J$3-K226,0),0)))))</f>
        <v/>
      </c>
      <c r="K226" s="128" t="str">
        <f>IF($B225="","",IF($B225+1&gt;'Qredits maandlasten'!$C$4,"",G226*I226*'Qredits maandlasten'!$C$8))</f>
        <v/>
      </c>
      <c r="L226" s="128" t="str">
        <f t="shared" si="17"/>
        <v/>
      </c>
      <c r="M226" s="128" t="str">
        <f t="shared" si="15"/>
        <v/>
      </c>
      <c r="N226" s="127"/>
      <c r="O226" s="129" t="str">
        <f>IF($B226="","",'Qredits maandlasten'!$C$8)</f>
        <v/>
      </c>
      <c r="P226" s="129" t="str">
        <f>IF($B226="","",'Qredits maandlasten'!$C$8*(POWER(1+'Qredits maandlasten'!$C$8,$B226-1+1)))</f>
        <v/>
      </c>
      <c r="Q226" s="129" t="str">
        <f t="shared" si="18"/>
        <v/>
      </c>
      <c r="R226" s="127"/>
      <c r="S226" s="128" t="str">
        <f t="shared" si="16"/>
        <v/>
      </c>
      <c r="T226" s="128" t="str">
        <f>IF(S226="","",J226/(POWER(1+'Qredits maandlasten'!$C$8,$B226-1+1)))</f>
        <v/>
      </c>
      <c r="U226" s="130" t="str">
        <f t="shared" si="19"/>
        <v/>
      </c>
      <c r="V226" s="128" t="str">
        <f>IF($B226="","",K226/(POWER(1+'Qredits maandlasten'!$C$8,$B226-1+1)))</f>
        <v/>
      </c>
      <c r="W226" s="127"/>
    </row>
    <row r="227" spans="1:23" s="132" customFormat="1" x14ac:dyDescent="0.2">
      <c r="A227" s="123"/>
      <c r="B227" s="124" t="str">
        <f>IF($B226="","",IF($B226+1&gt;'Qredits maandlasten'!$C$4,"",Schema!B226+1))</f>
        <v/>
      </c>
      <c r="C227" s="125" t="str">
        <f>IF($B226="","",IF($B226+1&gt;'Qredits maandlasten'!$C$4,"",EOMONTH(C226,0)+1))</f>
        <v/>
      </c>
      <c r="D227" s="123"/>
      <c r="E227" s="125" t="str">
        <f>IF($B226="","",IF($B226+1&gt;'Qredits maandlasten'!$C$4,"",F226+1))</f>
        <v/>
      </c>
      <c r="F227" s="125" t="str">
        <f>IF($B226="","",IF($B226+1&gt;'Qredits maandlasten'!$C$4,"",EOMONTH(E227,0)))</f>
        <v/>
      </c>
      <c r="G227" s="126" t="str">
        <f>IF($B226="","",IF($B226+1&gt;'Qredits maandlasten'!$C$4,"",(_xlfn.DAYS(F227,E227)+1)/DAY(F227)))</f>
        <v/>
      </c>
      <c r="H227" s="127"/>
      <c r="I227" s="128" t="str">
        <f>IF($B226="","",IF($B226+1&gt;'Qredits maandlasten'!$C$4,"",I226-J226))</f>
        <v/>
      </c>
      <c r="J227" s="128" t="str">
        <f>IF($B226="","",IF($B226+1&gt;'Qredits maandlasten'!$C$4,"",IF(B226&lt;'Qredits maandlasten'!$C$11-1,0,IF('Qredits maandlasten'!$C$10=dropdowns!$A$121,'Qredits maandlasten'!$J$3,IF('Qredits maandlasten'!$C$10=dropdowns!$A$120,IFERROR('Qredits maandlasten'!$J$3-K227,0),0)))))</f>
        <v/>
      </c>
      <c r="K227" s="128" t="str">
        <f>IF($B226="","",IF($B226+1&gt;'Qredits maandlasten'!$C$4,"",G227*I227*'Qredits maandlasten'!$C$8))</f>
        <v/>
      </c>
      <c r="L227" s="128" t="str">
        <f t="shared" si="17"/>
        <v/>
      </c>
      <c r="M227" s="128" t="str">
        <f t="shared" si="15"/>
        <v/>
      </c>
      <c r="N227" s="127"/>
      <c r="O227" s="129" t="str">
        <f>IF($B227="","",'Qredits maandlasten'!$C$8)</f>
        <v/>
      </c>
      <c r="P227" s="129" t="str">
        <f>IF($B227="","",'Qredits maandlasten'!$C$8*(POWER(1+'Qredits maandlasten'!$C$8,$B227-1+1)))</f>
        <v/>
      </c>
      <c r="Q227" s="129" t="str">
        <f t="shared" si="18"/>
        <v/>
      </c>
      <c r="R227" s="127"/>
      <c r="S227" s="128" t="str">
        <f t="shared" si="16"/>
        <v/>
      </c>
      <c r="T227" s="128" t="str">
        <f>IF(S227="","",J227/(POWER(1+'Qredits maandlasten'!$C$8,$B227-1+1)))</f>
        <v/>
      </c>
      <c r="U227" s="130" t="str">
        <f t="shared" si="19"/>
        <v/>
      </c>
      <c r="V227" s="128" t="str">
        <f>IF($B227="","",K227/(POWER(1+'Qredits maandlasten'!$C$8,$B227-1+1)))</f>
        <v/>
      </c>
      <c r="W227" s="127"/>
    </row>
    <row r="228" spans="1:23" s="132" customFormat="1" x14ac:dyDescent="0.2">
      <c r="A228" s="123"/>
      <c r="B228" s="124" t="str">
        <f>IF($B227="","",IF($B227+1&gt;'Qredits maandlasten'!$C$4,"",Schema!B227+1))</f>
        <v/>
      </c>
      <c r="C228" s="125" t="str">
        <f>IF($B227="","",IF($B227+1&gt;'Qredits maandlasten'!$C$4,"",EOMONTH(C227,0)+1))</f>
        <v/>
      </c>
      <c r="D228" s="123"/>
      <c r="E228" s="125" t="str">
        <f>IF($B227="","",IF($B227+1&gt;'Qredits maandlasten'!$C$4,"",F227+1))</f>
        <v/>
      </c>
      <c r="F228" s="125" t="str">
        <f>IF($B227="","",IF($B227+1&gt;'Qredits maandlasten'!$C$4,"",EOMONTH(E228,0)))</f>
        <v/>
      </c>
      <c r="G228" s="126" t="str">
        <f>IF($B227="","",IF($B227+1&gt;'Qredits maandlasten'!$C$4,"",(_xlfn.DAYS(F228,E228)+1)/DAY(F228)))</f>
        <v/>
      </c>
      <c r="H228" s="127"/>
      <c r="I228" s="128" t="str">
        <f>IF($B227="","",IF($B227+1&gt;'Qredits maandlasten'!$C$4,"",I227-J227))</f>
        <v/>
      </c>
      <c r="J228" s="128" t="str">
        <f>IF($B227="","",IF($B227+1&gt;'Qredits maandlasten'!$C$4,"",IF(B227&lt;'Qredits maandlasten'!$C$11-1,0,IF('Qredits maandlasten'!$C$10=dropdowns!$A$121,'Qredits maandlasten'!$J$3,IF('Qredits maandlasten'!$C$10=dropdowns!$A$120,IFERROR('Qredits maandlasten'!$J$3-K228,0),0)))))</f>
        <v/>
      </c>
      <c r="K228" s="128" t="str">
        <f>IF($B227="","",IF($B227+1&gt;'Qredits maandlasten'!$C$4,"",G228*I228*'Qredits maandlasten'!$C$8))</f>
        <v/>
      </c>
      <c r="L228" s="128" t="str">
        <f t="shared" si="17"/>
        <v/>
      </c>
      <c r="M228" s="128" t="str">
        <f t="shared" si="15"/>
        <v/>
      </c>
      <c r="N228" s="127"/>
      <c r="O228" s="129" t="str">
        <f>IF($B228="","",'Qredits maandlasten'!$C$8)</f>
        <v/>
      </c>
      <c r="P228" s="129" t="str">
        <f>IF($B228="","",'Qredits maandlasten'!$C$8*(POWER(1+'Qredits maandlasten'!$C$8,$B228-1+1)))</f>
        <v/>
      </c>
      <c r="Q228" s="129" t="str">
        <f t="shared" si="18"/>
        <v/>
      </c>
      <c r="R228" s="127"/>
      <c r="S228" s="128" t="str">
        <f t="shared" si="16"/>
        <v/>
      </c>
      <c r="T228" s="128" t="str">
        <f>IF(S228="","",J228/(POWER(1+'Qredits maandlasten'!$C$8,$B228-1+1)))</f>
        <v/>
      </c>
      <c r="U228" s="130" t="str">
        <f t="shared" si="19"/>
        <v/>
      </c>
      <c r="V228" s="128" t="str">
        <f>IF($B228="","",K228/(POWER(1+'Qredits maandlasten'!$C$8,$B228-1+1)))</f>
        <v/>
      </c>
      <c r="W228" s="127"/>
    </row>
    <row r="229" spans="1:23" s="132" customFormat="1" x14ac:dyDescent="0.2">
      <c r="A229" s="123"/>
      <c r="B229" s="124" t="str">
        <f>IF($B228="","",IF($B228+1&gt;'Qredits maandlasten'!$C$4,"",Schema!B228+1))</f>
        <v/>
      </c>
      <c r="C229" s="125" t="str">
        <f>IF($B228="","",IF($B228+1&gt;'Qredits maandlasten'!$C$4,"",EOMONTH(C228,0)+1))</f>
        <v/>
      </c>
      <c r="D229" s="123"/>
      <c r="E229" s="125" t="str">
        <f>IF($B228="","",IF($B228+1&gt;'Qredits maandlasten'!$C$4,"",F228+1))</f>
        <v/>
      </c>
      <c r="F229" s="125" t="str">
        <f>IF($B228="","",IF($B228+1&gt;'Qredits maandlasten'!$C$4,"",EOMONTH(E229,0)))</f>
        <v/>
      </c>
      <c r="G229" s="126" t="str">
        <f>IF($B228="","",IF($B228+1&gt;'Qredits maandlasten'!$C$4,"",(_xlfn.DAYS(F229,E229)+1)/DAY(F229)))</f>
        <v/>
      </c>
      <c r="H229" s="127"/>
      <c r="I229" s="128" t="str">
        <f>IF($B228="","",IF($B228+1&gt;'Qredits maandlasten'!$C$4,"",I228-J228))</f>
        <v/>
      </c>
      <c r="J229" s="128" t="str">
        <f>IF($B228="","",IF($B228+1&gt;'Qredits maandlasten'!$C$4,"",IF(B228&lt;'Qredits maandlasten'!$C$11-1,0,IF('Qredits maandlasten'!$C$10=dropdowns!$A$121,'Qredits maandlasten'!$J$3,IF('Qredits maandlasten'!$C$10=dropdowns!$A$120,IFERROR('Qredits maandlasten'!$J$3-K229,0),0)))))</f>
        <v/>
      </c>
      <c r="K229" s="128" t="str">
        <f>IF($B228="","",IF($B228+1&gt;'Qredits maandlasten'!$C$4,"",G229*I229*'Qredits maandlasten'!$C$8))</f>
        <v/>
      </c>
      <c r="L229" s="128" t="str">
        <f t="shared" si="17"/>
        <v/>
      </c>
      <c r="M229" s="128" t="str">
        <f t="shared" si="15"/>
        <v/>
      </c>
      <c r="N229" s="127"/>
      <c r="O229" s="129" t="str">
        <f>IF($B229="","",'Qredits maandlasten'!$C$8)</f>
        <v/>
      </c>
      <c r="P229" s="129" t="str">
        <f>IF($B229="","",'Qredits maandlasten'!$C$8*(POWER(1+'Qredits maandlasten'!$C$8,$B229-1+1)))</f>
        <v/>
      </c>
      <c r="Q229" s="129" t="str">
        <f t="shared" si="18"/>
        <v/>
      </c>
      <c r="R229" s="127"/>
      <c r="S229" s="128" t="str">
        <f t="shared" si="16"/>
        <v/>
      </c>
      <c r="T229" s="128" t="str">
        <f>IF(S229="","",J229/(POWER(1+'Qredits maandlasten'!$C$8,$B229-1+1)))</f>
        <v/>
      </c>
      <c r="U229" s="130" t="str">
        <f t="shared" si="19"/>
        <v/>
      </c>
      <c r="V229" s="128" t="str">
        <f>IF($B229="","",K229/(POWER(1+'Qredits maandlasten'!$C$8,$B229-1+1)))</f>
        <v/>
      </c>
      <c r="W229" s="127"/>
    </row>
    <row r="230" spans="1:23" s="132" customFormat="1" x14ac:dyDescent="0.2">
      <c r="A230" s="123"/>
      <c r="B230" s="124" t="str">
        <f>IF($B229="","",IF($B229+1&gt;'Qredits maandlasten'!$C$4,"",Schema!B229+1))</f>
        <v/>
      </c>
      <c r="C230" s="125" t="str">
        <f>IF($B229="","",IF($B229+1&gt;'Qredits maandlasten'!$C$4,"",EOMONTH(C229,0)+1))</f>
        <v/>
      </c>
      <c r="D230" s="123"/>
      <c r="E230" s="125" t="str">
        <f>IF($B229="","",IF($B229+1&gt;'Qredits maandlasten'!$C$4,"",F229+1))</f>
        <v/>
      </c>
      <c r="F230" s="125" t="str">
        <f>IF($B229="","",IF($B229+1&gt;'Qredits maandlasten'!$C$4,"",EOMONTH(E230,0)))</f>
        <v/>
      </c>
      <c r="G230" s="126" t="str">
        <f>IF($B229="","",IF($B229+1&gt;'Qredits maandlasten'!$C$4,"",(_xlfn.DAYS(F230,E230)+1)/DAY(F230)))</f>
        <v/>
      </c>
      <c r="H230" s="127"/>
      <c r="I230" s="128" t="str">
        <f>IF($B229="","",IF($B229+1&gt;'Qredits maandlasten'!$C$4,"",I229-J229))</f>
        <v/>
      </c>
      <c r="J230" s="128" t="str">
        <f>IF($B229="","",IF($B229+1&gt;'Qredits maandlasten'!$C$4,"",IF(B229&lt;'Qredits maandlasten'!$C$11-1,0,IF('Qredits maandlasten'!$C$10=dropdowns!$A$121,'Qredits maandlasten'!$J$3,IF('Qredits maandlasten'!$C$10=dropdowns!$A$120,IFERROR('Qredits maandlasten'!$J$3-K230,0),0)))))</f>
        <v/>
      </c>
      <c r="K230" s="128" t="str">
        <f>IF($B229="","",IF($B229+1&gt;'Qredits maandlasten'!$C$4,"",G230*I230*'Qredits maandlasten'!$C$8))</f>
        <v/>
      </c>
      <c r="L230" s="128" t="str">
        <f t="shared" si="17"/>
        <v/>
      </c>
      <c r="M230" s="128" t="str">
        <f t="shared" si="15"/>
        <v/>
      </c>
      <c r="N230" s="127"/>
      <c r="O230" s="129" t="str">
        <f>IF($B230="","",'Qredits maandlasten'!$C$8)</f>
        <v/>
      </c>
      <c r="P230" s="129" t="str">
        <f>IF($B230="","",'Qredits maandlasten'!$C$8*(POWER(1+'Qredits maandlasten'!$C$8,$B230-1+1)))</f>
        <v/>
      </c>
      <c r="Q230" s="129" t="str">
        <f t="shared" si="18"/>
        <v/>
      </c>
      <c r="R230" s="127"/>
      <c r="S230" s="128" t="str">
        <f t="shared" si="16"/>
        <v/>
      </c>
      <c r="T230" s="128" t="str">
        <f>IF(S230="","",J230/(POWER(1+'Qredits maandlasten'!$C$8,$B230-1+1)))</f>
        <v/>
      </c>
      <c r="U230" s="130" t="str">
        <f t="shared" si="19"/>
        <v/>
      </c>
      <c r="V230" s="128" t="str">
        <f>IF($B230="","",K230/(POWER(1+'Qredits maandlasten'!$C$8,$B230-1+1)))</f>
        <v/>
      </c>
      <c r="W230" s="127"/>
    </row>
    <row r="231" spans="1:23" s="132" customFormat="1" x14ac:dyDescent="0.2">
      <c r="A231" s="123"/>
      <c r="B231" s="124" t="str">
        <f>IF($B230="","",IF($B230+1&gt;'Qredits maandlasten'!$C$4,"",Schema!B230+1))</f>
        <v/>
      </c>
      <c r="C231" s="125" t="str">
        <f>IF($B230="","",IF($B230+1&gt;'Qredits maandlasten'!$C$4,"",EOMONTH(C230,0)+1))</f>
        <v/>
      </c>
      <c r="D231" s="123"/>
      <c r="E231" s="125" t="str">
        <f>IF($B230="","",IF($B230+1&gt;'Qredits maandlasten'!$C$4,"",F230+1))</f>
        <v/>
      </c>
      <c r="F231" s="125" t="str">
        <f>IF($B230="","",IF($B230+1&gt;'Qredits maandlasten'!$C$4,"",EOMONTH(E231,0)))</f>
        <v/>
      </c>
      <c r="G231" s="126" t="str">
        <f>IF($B230="","",IF($B230+1&gt;'Qredits maandlasten'!$C$4,"",(_xlfn.DAYS(F231,E231)+1)/DAY(F231)))</f>
        <v/>
      </c>
      <c r="H231" s="127"/>
      <c r="I231" s="128" t="str">
        <f>IF($B230="","",IF($B230+1&gt;'Qredits maandlasten'!$C$4,"",I230-J230))</f>
        <v/>
      </c>
      <c r="J231" s="128" t="str">
        <f>IF($B230="","",IF($B230+1&gt;'Qredits maandlasten'!$C$4,"",IF(B230&lt;'Qredits maandlasten'!$C$11-1,0,IF('Qredits maandlasten'!$C$10=dropdowns!$A$121,'Qredits maandlasten'!$J$3,IF('Qredits maandlasten'!$C$10=dropdowns!$A$120,IFERROR('Qredits maandlasten'!$J$3-K231,0),0)))))</f>
        <v/>
      </c>
      <c r="K231" s="128" t="str">
        <f>IF($B230="","",IF($B230+1&gt;'Qredits maandlasten'!$C$4,"",G231*I231*'Qredits maandlasten'!$C$8))</f>
        <v/>
      </c>
      <c r="L231" s="128" t="str">
        <f t="shared" si="17"/>
        <v/>
      </c>
      <c r="M231" s="128" t="str">
        <f t="shared" si="15"/>
        <v/>
      </c>
      <c r="N231" s="127"/>
      <c r="O231" s="129" t="str">
        <f>IF($B231="","",'Qredits maandlasten'!$C$8)</f>
        <v/>
      </c>
      <c r="P231" s="129" t="str">
        <f>IF($B231="","",'Qredits maandlasten'!$C$8*(POWER(1+'Qredits maandlasten'!$C$8,$B231-1+1)))</f>
        <v/>
      </c>
      <c r="Q231" s="129" t="str">
        <f t="shared" si="18"/>
        <v/>
      </c>
      <c r="R231" s="127"/>
      <c r="S231" s="128" t="str">
        <f t="shared" si="16"/>
        <v/>
      </c>
      <c r="T231" s="128" t="str">
        <f>IF(S231="","",J231/(POWER(1+'Qredits maandlasten'!$C$8,$B231-1+1)))</f>
        <v/>
      </c>
      <c r="U231" s="130" t="str">
        <f t="shared" si="19"/>
        <v/>
      </c>
      <c r="V231" s="128" t="str">
        <f>IF($B231="","",K231/(POWER(1+'Qredits maandlasten'!$C$8,$B231-1+1)))</f>
        <v/>
      </c>
      <c r="W231" s="127"/>
    </row>
    <row r="232" spans="1:23" s="132" customFormat="1" x14ac:dyDescent="0.2">
      <c r="A232" s="123"/>
      <c r="B232" s="124" t="str">
        <f>IF($B231="","",IF($B231+1&gt;'Qredits maandlasten'!$C$4,"",Schema!B231+1))</f>
        <v/>
      </c>
      <c r="C232" s="125" t="str">
        <f>IF($B231="","",IF($B231+1&gt;'Qredits maandlasten'!$C$4,"",EOMONTH(C231,0)+1))</f>
        <v/>
      </c>
      <c r="D232" s="123"/>
      <c r="E232" s="125" t="str">
        <f>IF($B231="","",IF($B231+1&gt;'Qredits maandlasten'!$C$4,"",F231+1))</f>
        <v/>
      </c>
      <c r="F232" s="125" t="str">
        <f>IF($B231="","",IF($B231+1&gt;'Qredits maandlasten'!$C$4,"",EOMONTH(E232,0)))</f>
        <v/>
      </c>
      <c r="G232" s="126" t="str">
        <f>IF($B231="","",IF($B231+1&gt;'Qredits maandlasten'!$C$4,"",(_xlfn.DAYS(F232,E232)+1)/DAY(F232)))</f>
        <v/>
      </c>
      <c r="H232" s="127"/>
      <c r="I232" s="128" t="str">
        <f>IF($B231="","",IF($B231+1&gt;'Qredits maandlasten'!$C$4,"",I231-J231))</f>
        <v/>
      </c>
      <c r="J232" s="128" t="str">
        <f>IF($B231="","",IF($B231+1&gt;'Qredits maandlasten'!$C$4,"",IF(B231&lt;'Qredits maandlasten'!$C$11-1,0,IF('Qredits maandlasten'!$C$10=dropdowns!$A$121,'Qredits maandlasten'!$J$3,IF('Qredits maandlasten'!$C$10=dropdowns!$A$120,IFERROR('Qredits maandlasten'!$J$3-K232,0),0)))))</f>
        <v/>
      </c>
      <c r="K232" s="128" t="str">
        <f>IF($B231="","",IF($B231+1&gt;'Qredits maandlasten'!$C$4,"",G232*I232*'Qredits maandlasten'!$C$8))</f>
        <v/>
      </c>
      <c r="L232" s="128" t="str">
        <f t="shared" si="17"/>
        <v/>
      </c>
      <c r="M232" s="128" t="str">
        <f t="shared" si="15"/>
        <v/>
      </c>
      <c r="N232" s="127"/>
      <c r="O232" s="129" t="str">
        <f>IF($B232="","",'Qredits maandlasten'!$C$8)</f>
        <v/>
      </c>
      <c r="P232" s="129" t="str">
        <f>IF($B232="","",'Qredits maandlasten'!$C$8*(POWER(1+'Qredits maandlasten'!$C$8,$B232-1+1)))</f>
        <v/>
      </c>
      <c r="Q232" s="129" t="str">
        <f t="shared" si="18"/>
        <v/>
      </c>
      <c r="R232" s="127"/>
      <c r="S232" s="128" t="str">
        <f t="shared" si="16"/>
        <v/>
      </c>
      <c r="T232" s="128" t="str">
        <f>IF(S232="","",J232/(POWER(1+'Qredits maandlasten'!$C$8,$B232-1+1)))</f>
        <v/>
      </c>
      <c r="U232" s="130" t="str">
        <f t="shared" si="19"/>
        <v/>
      </c>
      <c r="V232" s="128" t="str">
        <f>IF($B232="","",K232/(POWER(1+'Qredits maandlasten'!$C$8,$B232-1+1)))</f>
        <v/>
      </c>
      <c r="W232" s="127"/>
    </row>
    <row r="233" spans="1:23" s="132" customFormat="1" x14ac:dyDescent="0.2">
      <c r="A233" s="123"/>
      <c r="B233" s="124" t="str">
        <f>IF($B232="","",IF($B232+1&gt;'Qredits maandlasten'!$C$4,"",Schema!B232+1))</f>
        <v/>
      </c>
      <c r="C233" s="125" t="str">
        <f>IF($B232="","",IF($B232+1&gt;'Qredits maandlasten'!$C$4,"",EOMONTH(C232,0)+1))</f>
        <v/>
      </c>
      <c r="D233" s="123"/>
      <c r="E233" s="125" t="str">
        <f>IF($B232="","",IF($B232+1&gt;'Qredits maandlasten'!$C$4,"",F232+1))</f>
        <v/>
      </c>
      <c r="F233" s="125" t="str">
        <f>IF($B232="","",IF($B232+1&gt;'Qredits maandlasten'!$C$4,"",EOMONTH(E233,0)))</f>
        <v/>
      </c>
      <c r="G233" s="126" t="str">
        <f>IF($B232="","",IF($B232+1&gt;'Qredits maandlasten'!$C$4,"",(_xlfn.DAYS(F233,E233)+1)/DAY(F233)))</f>
        <v/>
      </c>
      <c r="H233" s="127"/>
      <c r="I233" s="128" t="str">
        <f>IF($B232="","",IF($B232+1&gt;'Qredits maandlasten'!$C$4,"",I232-J232))</f>
        <v/>
      </c>
      <c r="J233" s="128" t="str">
        <f>IF($B232="","",IF($B232+1&gt;'Qredits maandlasten'!$C$4,"",IF(B232&lt;'Qredits maandlasten'!$C$11-1,0,IF('Qredits maandlasten'!$C$10=dropdowns!$A$121,'Qredits maandlasten'!$J$3,IF('Qredits maandlasten'!$C$10=dropdowns!$A$120,IFERROR('Qredits maandlasten'!$J$3-K233,0),0)))))</f>
        <v/>
      </c>
      <c r="K233" s="128" t="str">
        <f>IF($B232="","",IF($B232+1&gt;'Qredits maandlasten'!$C$4,"",G233*I233*'Qredits maandlasten'!$C$8))</f>
        <v/>
      </c>
      <c r="L233" s="128" t="str">
        <f t="shared" si="17"/>
        <v/>
      </c>
      <c r="M233" s="128" t="str">
        <f t="shared" si="15"/>
        <v/>
      </c>
      <c r="N233" s="127"/>
      <c r="O233" s="129" t="str">
        <f>IF($B233="","",'Qredits maandlasten'!$C$8)</f>
        <v/>
      </c>
      <c r="P233" s="129" t="str">
        <f>IF($B233="","",'Qredits maandlasten'!$C$8*(POWER(1+'Qredits maandlasten'!$C$8,$B233-1+1)))</f>
        <v/>
      </c>
      <c r="Q233" s="129" t="str">
        <f t="shared" si="18"/>
        <v/>
      </c>
      <c r="R233" s="127"/>
      <c r="S233" s="128" t="str">
        <f t="shared" si="16"/>
        <v/>
      </c>
      <c r="T233" s="128" t="str">
        <f>IF(S233="","",J233/(POWER(1+'Qredits maandlasten'!$C$8,$B233-1+1)))</f>
        <v/>
      </c>
      <c r="U233" s="130" t="str">
        <f t="shared" si="19"/>
        <v/>
      </c>
      <c r="V233" s="128" t="str">
        <f>IF($B233="","",K233/(POWER(1+'Qredits maandlasten'!$C$8,$B233-1+1)))</f>
        <v/>
      </c>
      <c r="W233" s="127"/>
    </row>
    <row r="234" spans="1:23" s="132" customFormat="1" x14ac:dyDescent="0.2">
      <c r="A234" s="123"/>
      <c r="B234" s="124" t="str">
        <f>IF($B233="","",IF($B233+1&gt;'Qredits maandlasten'!$C$4,"",Schema!B233+1))</f>
        <v/>
      </c>
      <c r="C234" s="125" t="str">
        <f>IF($B233="","",IF($B233+1&gt;'Qredits maandlasten'!$C$4,"",EOMONTH(C233,0)+1))</f>
        <v/>
      </c>
      <c r="D234" s="123"/>
      <c r="E234" s="125" t="str">
        <f>IF($B233="","",IF($B233+1&gt;'Qredits maandlasten'!$C$4,"",F233+1))</f>
        <v/>
      </c>
      <c r="F234" s="125" t="str">
        <f>IF($B233="","",IF($B233+1&gt;'Qredits maandlasten'!$C$4,"",EOMONTH(E234,0)))</f>
        <v/>
      </c>
      <c r="G234" s="126" t="str">
        <f>IF($B233="","",IF($B233+1&gt;'Qredits maandlasten'!$C$4,"",(_xlfn.DAYS(F234,E234)+1)/DAY(F234)))</f>
        <v/>
      </c>
      <c r="H234" s="127"/>
      <c r="I234" s="128" t="str">
        <f>IF($B233="","",IF($B233+1&gt;'Qredits maandlasten'!$C$4,"",I233-J233))</f>
        <v/>
      </c>
      <c r="J234" s="128" t="str">
        <f>IF($B233="","",IF($B233+1&gt;'Qredits maandlasten'!$C$4,"",IF(B233&lt;'Qredits maandlasten'!$C$11-1,0,IF('Qredits maandlasten'!$C$10=dropdowns!$A$121,'Qredits maandlasten'!$J$3,IF('Qredits maandlasten'!$C$10=dropdowns!$A$120,IFERROR('Qredits maandlasten'!$J$3-K234,0),0)))))</f>
        <v/>
      </c>
      <c r="K234" s="128" t="str">
        <f>IF($B233="","",IF($B233+1&gt;'Qredits maandlasten'!$C$4,"",G234*I234*'Qredits maandlasten'!$C$8))</f>
        <v/>
      </c>
      <c r="L234" s="128" t="str">
        <f t="shared" si="17"/>
        <v/>
      </c>
      <c r="M234" s="128" t="str">
        <f t="shared" si="15"/>
        <v/>
      </c>
      <c r="N234" s="127"/>
      <c r="O234" s="129" t="str">
        <f>IF($B234="","",'Qredits maandlasten'!$C$8)</f>
        <v/>
      </c>
      <c r="P234" s="129" t="str">
        <f>IF($B234="","",'Qredits maandlasten'!$C$8*(POWER(1+'Qredits maandlasten'!$C$8,$B234-1+1)))</f>
        <v/>
      </c>
      <c r="Q234" s="129" t="str">
        <f t="shared" si="18"/>
        <v/>
      </c>
      <c r="R234" s="127"/>
      <c r="S234" s="128" t="str">
        <f t="shared" si="16"/>
        <v/>
      </c>
      <c r="T234" s="128" t="str">
        <f>IF(S234="","",J234/(POWER(1+'Qredits maandlasten'!$C$8,$B234-1+1)))</f>
        <v/>
      </c>
      <c r="U234" s="130" t="str">
        <f t="shared" si="19"/>
        <v/>
      </c>
      <c r="V234" s="128" t="str">
        <f>IF($B234="","",K234/(POWER(1+'Qredits maandlasten'!$C$8,$B234-1+1)))</f>
        <v/>
      </c>
      <c r="W234" s="127"/>
    </row>
    <row r="235" spans="1:23" s="132" customFormat="1" x14ac:dyDescent="0.2">
      <c r="A235" s="123"/>
      <c r="B235" s="124" t="str">
        <f>IF($B234="","",IF($B234+1&gt;'Qredits maandlasten'!$C$4,"",Schema!B234+1))</f>
        <v/>
      </c>
      <c r="C235" s="125" t="str">
        <f>IF($B234="","",IF($B234+1&gt;'Qredits maandlasten'!$C$4,"",EOMONTH(C234,0)+1))</f>
        <v/>
      </c>
      <c r="D235" s="123"/>
      <c r="E235" s="125" t="str">
        <f>IF($B234="","",IF($B234+1&gt;'Qredits maandlasten'!$C$4,"",F234+1))</f>
        <v/>
      </c>
      <c r="F235" s="125" t="str">
        <f>IF($B234="","",IF($B234+1&gt;'Qredits maandlasten'!$C$4,"",EOMONTH(E235,0)))</f>
        <v/>
      </c>
      <c r="G235" s="126" t="str">
        <f>IF($B234="","",IF($B234+1&gt;'Qredits maandlasten'!$C$4,"",(_xlfn.DAYS(F235,E235)+1)/DAY(F235)))</f>
        <v/>
      </c>
      <c r="H235" s="127"/>
      <c r="I235" s="128" t="str">
        <f>IF($B234="","",IF($B234+1&gt;'Qredits maandlasten'!$C$4,"",I234-J234))</f>
        <v/>
      </c>
      <c r="J235" s="128" t="str">
        <f>IF($B234="","",IF($B234+1&gt;'Qredits maandlasten'!$C$4,"",IF(B234&lt;'Qredits maandlasten'!$C$11-1,0,IF('Qredits maandlasten'!$C$10=dropdowns!$A$121,'Qredits maandlasten'!$J$3,IF('Qredits maandlasten'!$C$10=dropdowns!$A$120,IFERROR('Qredits maandlasten'!$J$3-K235,0),0)))))</f>
        <v/>
      </c>
      <c r="K235" s="128" t="str">
        <f>IF($B234="","",IF($B234+1&gt;'Qredits maandlasten'!$C$4,"",G235*I235*'Qredits maandlasten'!$C$8))</f>
        <v/>
      </c>
      <c r="L235" s="128" t="str">
        <f t="shared" si="17"/>
        <v/>
      </c>
      <c r="M235" s="128" t="str">
        <f t="shared" si="15"/>
        <v/>
      </c>
      <c r="N235" s="127"/>
      <c r="O235" s="129" t="str">
        <f>IF($B235="","",'Qredits maandlasten'!$C$8)</f>
        <v/>
      </c>
      <c r="P235" s="129" t="str">
        <f>IF($B235="","",'Qredits maandlasten'!$C$8*(POWER(1+'Qredits maandlasten'!$C$8,$B235-1+1)))</f>
        <v/>
      </c>
      <c r="Q235" s="129" t="str">
        <f t="shared" si="18"/>
        <v/>
      </c>
      <c r="R235" s="127"/>
      <c r="S235" s="128" t="str">
        <f t="shared" si="16"/>
        <v/>
      </c>
      <c r="T235" s="128" t="str">
        <f>IF(S235="","",J235/(POWER(1+'Qredits maandlasten'!$C$8,$B235-1+1)))</f>
        <v/>
      </c>
      <c r="U235" s="130" t="str">
        <f t="shared" si="19"/>
        <v/>
      </c>
      <c r="V235" s="128" t="str">
        <f>IF($B235="","",K235/(POWER(1+'Qredits maandlasten'!$C$8,$B235-1+1)))</f>
        <v/>
      </c>
      <c r="W235" s="127"/>
    </row>
    <row r="236" spans="1:23" s="132" customFormat="1" x14ac:dyDescent="0.2">
      <c r="A236" s="123"/>
      <c r="B236" s="124" t="str">
        <f>IF($B235="","",IF($B235+1&gt;'Qredits maandlasten'!$C$4,"",Schema!B235+1))</f>
        <v/>
      </c>
      <c r="C236" s="125" t="str">
        <f>IF($B235="","",IF($B235+1&gt;'Qredits maandlasten'!$C$4,"",EOMONTH(C235,0)+1))</f>
        <v/>
      </c>
      <c r="D236" s="123"/>
      <c r="E236" s="125" t="str">
        <f>IF($B235="","",IF($B235+1&gt;'Qredits maandlasten'!$C$4,"",F235+1))</f>
        <v/>
      </c>
      <c r="F236" s="125" t="str">
        <f>IF($B235="","",IF($B235+1&gt;'Qredits maandlasten'!$C$4,"",EOMONTH(E236,0)))</f>
        <v/>
      </c>
      <c r="G236" s="126" t="str">
        <f>IF($B235="","",IF($B235+1&gt;'Qredits maandlasten'!$C$4,"",(_xlfn.DAYS(F236,E236)+1)/DAY(F236)))</f>
        <v/>
      </c>
      <c r="H236" s="127"/>
      <c r="I236" s="128" t="str">
        <f>IF($B235="","",IF($B235+1&gt;'Qredits maandlasten'!$C$4,"",I235-J235))</f>
        <v/>
      </c>
      <c r="J236" s="128" t="str">
        <f>IF($B235="","",IF($B235+1&gt;'Qredits maandlasten'!$C$4,"",IF(B235&lt;'Qredits maandlasten'!$C$11-1,0,IF('Qredits maandlasten'!$C$10=dropdowns!$A$121,'Qredits maandlasten'!$J$3,IF('Qredits maandlasten'!$C$10=dropdowns!$A$120,IFERROR('Qredits maandlasten'!$J$3-K236,0),0)))))</f>
        <v/>
      </c>
      <c r="K236" s="128" t="str">
        <f>IF($B235="","",IF($B235+1&gt;'Qredits maandlasten'!$C$4,"",G236*I236*'Qredits maandlasten'!$C$8))</f>
        <v/>
      </c>
      <c r="L236" s="128" t="str">
        <f t="shared" si="17"/>
        <v/>
      </c>
      <c r="M236" s="128" t="str">
        <f t="shared" si="15"/>
        <v/>
      </c>
      <c r="N236" s="127"/>
      <c r="O236" s="129" t="str">
        <f>IF($B236="","",'Qredits maandlasten'!$C$8)</f>
        <v/>
      </c>
      <c r="P236" s="129" t="str">
        <f>IF($B236="","",'Qredits maandlasten'!$C$8*(POWER(1+'Qredits maandlasten'!$C$8,$B236-1+1)))</f>
        <v/>
      </c>
      <c r="Q236" s="129" t="str">
        <f t="shared" si="18"/>
        <v/>
      </c>
      <c r="R236" s="127"/>
      <c r="S236" s="128" t="str">
        <f t="shared" si="16"/>
        <v/>
      </c>
      <c r="T236" s="128" t="str">
        <f>IF(S236="","",J236/(POWER(1+'Qredits maandlasten'!$C$8,$B236-1+1)))</f>
        <v/>
      </c>
      <c r="U236" s="130" t="str">
        <f t="shared" si="19"/>
        <v/>
      </c>
      <c r="V236" s="128" t="str">
        <f>IF($B236="","",K236/(POWER(1+'Qredits maandlasten'!$C$8,$B236-1+1)))</f>
        <v/>
      </c>
      <c r="W236" s="127"/>
    </row>
    <row r="237" spans="1:23" s="132" customFormat="1" x14ac:dyDescent="0.2">
      <c r="A237" s="123"/>
      <c r="B237" s="124" t="str">
        <f>IF($B236="","",IF($B236+1&gt;'Qredits maandlasten'!$C$4,"",Schema!B236+1))</f>
        <v/>
      </c>
      <c r="C237" s="125" t="str">
        <f>IF($B236="","",IF($B236+1&gt;'Qredits maandlasten'!$C$4,"",EOMONTH(C236,0)+1))</f>
        <v/>
      </c>
      <c r="D237" s="123"/>
      <c r="E237" s="125" t="str">
        <f>IF($B236="","",IF($B236+1&gt;'Qredits maandlasten'!$C$4,"",F236+1))</f>
        <v/>
      </c>
      <c r="F237" s="125" t="str">
        <f>IF($B236="","",IF($B236+1&gt;'Qredits maandlasten'!$C$4,"",EOMONTH(E237,0)))</f>
        <v/>
      </c>
      <c r="G237" s="126" t="str">
        <f>IF($B236="","",IF($B236+1&gt;'Qredits maandlasten'!$C$4,"",(_xlfn.DAYS(F237,E237)+1)/DAY(F237)))</f>
        <v/>
      </c>
      <c r="H237" s="127"/>
      <c r="I237" s="128" t="str">
        <f>IF($B236="","",IF($B236+1&gt;'Qredits maandlasten'!$C$4,"",I236-J236))</f>
        <v/>
      </c>
      <c r="J237" s="128" t="str">
        <f>IF($B236="","",IF($B236+1&gt;'Qredits maandlasten'!$C$4,"",IF(B236&lt;'Qredits maandlasten'!$C$11-1,0,IF('Qredits maandlasten'!$C$10=dropdowns!$A$121,'Qredits maandlasten'!$J$3,IF('Qredits maandlasten'!$C$10=dropdowns!$A$120,IFERROR('Qredits maandlasten'!$J$3-K237,0),0)))))</f>
        <v/>
      </c>
      <c r="K237" s="128" t="str">
        <f>IF($B236="","",IF($B236+1&gt;'Qredits maandlasten'!$C$4,"",G237*I237*'Qredits maandlasten'!$C$8))</f>
        <v/>
      </c>
      <c r="L237" s="128" t="str">
        <f t="shared" si="17"/>
        <v/>
      </c>
      <c r="M237" s="128" t="str">
        <f t="shared" si="15"/>
        <v/>
      </c>
      <c r="N237" s="127"/>
      <c r="O237" s="129" t="str">
        <f>IF($B237="","",'Qredits maandlasten'!$C$8)</f>
        <v/>
      </c>
      <c r="P237" s="129" t="str">
        <f>IF($B237="","",'Qredits maandlasten'!$C$8*(POWER(1+'Qredits maandlasten'!$C$8,$B237-1+1)))</f>
        <v/>
      </c>
      <c r="Q237" s="129" t="str">
        <f t="shared" si="18"/>
        <v/>
      </c>
      <c r="R237" s="127"/>
      <c r="S237" s="128" t="str">
        <f t="shared" si="16"/>
        <v/>
      </c>
      <c r="T237" s="128" t="str">
        <f>IF(S237="","",J237/(POWER(1+'Qredits maandlasten'!$C$8,$B237-1+1)))</f>
        <v/>
      </c>
      <c r="U237" s="130" t="str">
        <f t="shared" si="19"/>
        <v/>
      </c>
      <c r="V237" s="128" t="str">
        <f>IF($B237="","",K237/(POWER(1+'Qredits maandlasten'!$C$8,$B237-1+1)))</f>
        <v/>
      </c>
      <c r="W237" s="127"/>
    </row>
    <row r="238" spans="1:23" s="132" customFormat="1" x14ac:dyDescent="0.2">
      <c r="A238" s="123"/>
      <c r="B238" s="124" t="str">
        <f>IF($B237="","",IF($B237+1&gt;'Qredits maandlasten'!$C$4,"",Schema!B237+1))</f>
        <v/>
      </c>
      <c r="C238" s="125" t="str">
        <f>IF($B237="","",IF($B237+1&gt;'Qredits maandlasten'!$C$4,"",EOMONTH(C237,0)+1))</f>
        <v/>
      </c>
      <c r="D238" s="123"/>
      <c r="E238" s="125" t="str">
        <f>IF($B237="","",IF($B237+1&gt;'Qredits maandlasten'!$C$4,"",F237+1))</f>
        <v/>
      </c>
      <c r="F238" s="125" t="str">
        <f>IF($B237="","",IF($B237+1&gt;'Qredits maandlasten'!$C$4,"",EOMONTH(E238,0)))</f>
        <v/>
      </c>
      <c r="G238" s="126" t="str">
        <f>IF($B237="","",IF($B237+1&gt;'Qredits maandlasten'!$C$4,"",(_xlfn.DAYS(F238,E238)+1)/DAY(F238)))</f>
        <v/>
      </c>
      <c r="H238" s="127"/>
      <c r="I238" s="128" t="str">
        <f>IF($B237="","",IF($B237+1&gt;'Qredits maandlasten'!$C$4,"",I237-J237))</f>
        <v/>
      </c>
      <c r="J238" s="128" t="str">
        <f>IF($B237="","",IF($B237+1&gt;'Qredits maandlasten'!$C$4,"",IF(B237&lt;'Qredits maandlasten'!$C$11-1,0,IF('Qredits maandlasten'!$C$10=dropdowns!$A$121,'Qredits maandlasten'!$J$3,IF('Qredits maandlasten'!$C$10=dropdowns!$A$120,IFERROR('Qredits maandlasten'!$J$3-K238,0),0)))))</f>
        <v/>
      </c>
      <c r="K238" s="128" t="str">
        <f>IF($B237="","",IF($B237+1&gt;'Qredits maandlasten'!$C$4,"",G238*I238*'Qredits maandlasten'!$C$8))</f>
        <v/>
      </c>
      <c r="L238" s="128" t="str">
        <f t="shared" si="17"/>
        <v/>
      </c>
      <c r="M238" s="128" t="str">
        <f t="shared" si="15"/>
        <v/>
      </c>
      <c r="N238" s="127"/>
      <c r="O238" s="129" t="str">
        <f>IF($B238="","",'Qredits maandlasten'!$C$8)</f>
        <v/>
      </c>
      <c r="P238" s="129" t="str">
        <f>IF($B238="","",'Qredits maandlasten'!$C$8*(POWER(1+'Qredits maandlasten'!$C$8,$B238-1+1)))</f>
        <v/>
      </c>
      <c r="Q238" s="129" t="str">
        <f t="shared" si="18"/>
        <v/>
      </c>
      <c r="R238" s="127"/>
      <c r="S238" s="128" t="str">
        <f t="shared" si="16"/>
        <v/>
      </c>
      <c r="T238" s="128" t="str">
        <f>IF(S238="","",J238/(POWER(1+'Qredits maandlasten'!$C$8,$B238-1+1)))</f>
        <v/>
      </c>
      <c r="U238" s="130" t="str">
        <f t="shared" si="19"/>
        <v/>
      </c>
      <c r="V238" s="128" t="str">
        <f>IF($B238="","",K238/(POWER(1+'Qredits maandlasten'!$C$8,$B238-1+1)))</f>
        <v/>
      </c>
      <c r="W238" s="127"/>
    </row>
    <row r="239" spans="1:23" s="132" customFormat="1" x14ac:dyDescent="0.2">
      <c r="A239" s="123"/>
      <c r="B239" s="124" t="str">
        <f>IF($B238="","",IF($B238+1&gt;'Qredits maandlasten'!$C$4,"",Schema!B238+1))</f>
        <v/>
      </c>
      <c r="C239" s="125" t="str">
        <f>IF($B238="","",IF($B238+1&gt;'Qredits maandlasten'!$C$4,"",EOMONTH(C238,0)+1))</f>
        <v/>
      </c>
      <c r="D239" s="123"/>
      <c r="E239" s="125" t="str">
        <f>IF($B238="","",IF($B238+1&gt;'Qredits maandlasten'!$C$4,"",F238+1))</f>
        <v/>
      </c>
      <c r="F239" s="125" t="str">
        <f>IF($B238="","",IF($B238+1&gt;'Qredits maandlasten'!$C$4,"",EOMONTH(E239,0)))</f>
        <v/>
      </c>
      <c r="G239" s="126" t="str">
        <f>IF($B238="","",IF($B238+1&gt;'Qredits maandlasten'!$C$4,"",(_xlfn.DAYS(F239,E239)+1)/DAY(F239)))</f>
        <v/>
      </c>
      <c r="H239" s="127"/>
      <c r="I239" s="128" t="str">
        <f>IF($B238="","",IF($B238+1&gt;'Qredits maandlasten'!$C$4,"",I238-J238))</f>
        <v/>
      </c>
      <c r="J239" s="128" t="str">
        <f>IF($B238="","",IF($B238+1&gt;'Qredits maandlasten'!$C$4,"",IF(B238&lt;'Qredits maandlasten'!$C$11-1,0,IF('Qredits maandlasten'!$C$10=dropdowns!$A$121,'Qredits maandlasten'!$J$3,IF('Qredits maandlasten'!$C$10=dropdowns!$A$120,IFERROR('Qredits maandlasten'!$J$3-K239,0),0)))))</f>
        <v/>
      </c>
      <c r="K239" s="128" t="str">
        <f>IF($B238="","",IF($B238+1&gt;'Qredits maandlasten'!$C$4,"",G239*I239*'Qredits maandlasten'!$C$8))</f>
        <v/>
      </c>
      <c r="L239" s="128" t="str">
        <f t="shared" si="17"/>
        <v/>
      </c>
      <c r="M239" s="128" t="str">
        <f t="shared" si="15"/>
        <v/>
      </c>
      <c r="N239" s="127"/>
      <c r="O239" s="129" t="str">
        <f>IF($B239="","",'Qredits maandlasten'!$C$8)</f>
        <v/>
      </c>
      <c r="P239" s="129" t="str">
        <f>IF($B239="","",'Qredits maandlasten'!$C$8*(POWER(1+'Qredits maandlasten'!$C$8,$B239-1+1)))</f>
        <v/>
      </c>
      <c r="Q239" s="129" t="str">
        <f t="shared" si="18"/>
        <v/>
      </c>
      <c r="R239" s="127"/>
      <c r="S239" s="128" t="str">
        <f t="shared" si="16"/>
        <v/>
      </c>
      <c r="T239" s="128" t="str">
        <f>IF(S239="","",J239/(POWER(1+'Qredits maandlasten'!$C$8,$B239-1+1)))</f>
        <v/>
      </c>
      <c r="U239" s="130" t="str">
        <f t="shared" si="19"/>
        <v/>
      </c>
      <c r="V239" s="128" t="str">
        <f>IF($B239="","",K239/(POWER(1+'Qredits maandlasten'!$C$8,$B239-1+1)))</f>
        <v/>
      </c>
      <c r="W239" s="127"/>
    </row>
    <row r="240" spans="1:23" s="132" customFormat="1" x14ac:dyDescent="0.2">
      <c r="A240" s="123"/>
      <c r="B240" s="124" t="str">
        <f>IF($B239="","",IF($B239+1&gt;'Qredits maandlasten'!$C$4,"",Schema!B239+1))</f>
        <v/>
      </c>
      <c r="C240" s="125" t="str">
        <f>IF($B239="","",IF($B239+1&gt;'Qredits maandlasten'!$C$4,"",EOMONTH(C239,0)+1))</f>
        <v/>
      </c>
      <c r="D240" s="123"/>
      <c r="E240" s="125" t="str">
        <f>IF($B239="","",IF($B239+1&gt;'Qredits maandlasten'!$C$4,"",F239+1))</f>
        <v/>
      </c>
      <c r="F240" s="125" t="str">
        <f>IF($B239="","",IF($B239+1&gt;'Qredits maandlasten'!$C$4,"",EOMONTH(E240,0)))</f>
        <v/>
      </c>
      <c r="G240" s="126" t="str">
        <f>IF($B239="","",IF($B239+1&gt;'Qredits maandlasten'!$C$4,"",(_xlfn.DAYS(F240,E240)+1)/DAY(F240)))</f>
        <v/>
      </c>
      <c r="H240" s="127"/>
      <c r="I240" s="128" t="str">
        <f>IF($B239="","",IF($B239+1&gt;'Qredits maandlasten'!$C$4,"",I239-J239))</f>
        <v/>
      </c>
      <c r="J240" s="128" t="str">
        <f>IF($B239="","",IF($B239+1&gt;'Qredits maandlasten'!$C$4,"",IF(B239&lt;'Qredits maandlasten'!$C$11-1,0,IF('Qredits maandlasten'!$C$10=dropdowns!$A$121,'Qredits maandlasten'!$J$3,IF('Qredits maandlasten'!$C$10=dropdowns!$A$120,IFERROR('Qredits maandlasten'!$J$3-K240,0),0)))))</f>
        <v/>
      </c>
      <c r="K240" s="128" t="str">
        <f>IF($B239="","",IF($B239+1&gt;'Qredits maandlasten'!$C$4,"",G240*I240*'Qredits maandlasten'!$C$8))</f>
        <v/>
      </c>
      <c r="L240" s="128" t="str">
        <f t="shared" si="17"/>
        <v/>
      </c>
      <c r="M240" s="128" t="str">
        <f t="shared" si="15"/>
        <v/>
      </c>
      <c r="N240" s="127"/>
      <c r="O240" s="129" t="str">
        <f>IF($B240="","",'Qredits maandlasten'!$C$8)</f>
        <v/>
      </c>
      <c r="P240" s="129" t="str">
        <f>IF($B240="","",'Qredits maandlasten'!$C$8*(POWER(1+'Qredits maandlasten'!$C$8,$B240-1+1)))</f>
        <v/>
      </c>
      <c r="Q240" s="129" t="str">
        <f t="shared" si="18"/>
        <v/>
      </c>
      <c r="R240" s="127"/>
      <c r="S240" s="128" t="str">
        <f t="shared" si="16"/>
        <v/>
      </c>
      <c r="T240" s="128" t="str">
        <f>IF(S240="","",J240/(POWER(1+'Qredits maandlasten'!$C$8,$B240-1+1)))</f>
        <v/>
      </c>
      <c r="U240" s="130" t="str">
        <f t="shared" si="19"/>
        <v/>
      </c>
      <c r="V240" s="128" t="str">
        <f>IF($B240="","",K240/(POWER(1+'Qredits maandlasten'!$C$8,$B240-1+1)))</f>
        <v/>
      </c>
      <c r="W240" s="127"/>
    </row>
    <row r="241" spans="1:23" s="132" customFormat="1" x14ac:dyDescent="0.2">
      <c r="A241" s="123"/>
      <c r="B241" s="124" t="str">
        <f>IF($B240="","",IF($B240+1&gt;'Qredits maandlasten'!$C$4,"",Schema!B240+1))</f>
        <v/>
      </c>
      <c r="C241" s="125" t="str">
        <f>IF($B240="","",IF($B240+1&gt;'Qredits maandlasten'!$C$4,"",EOMONTH(C240,0)+1))</f>
        <v/>
      </c>
      <c r="D241" s="123"/>
      <c r="E241" s="125" t="str">
        <f>IF($B240="","",IF($B240+1&gt;'Qredits maandlasten'!$C$4,"",F240+1))</f>
        <v/>
      </c>
      <c r="F241" s="125" t="str">
        <f>IF($B240="","",IF($B240+1&gt;'Qredits maandlasten'!$C$4,"",EOMONTH(E241,0)))</f>
        <v/>
      </c>
      <c r="G241" s="126" t="str">
        <f>IF($B240="","",IF($B240+1&gt;'Qredits maandlasten'!$C$4,"",(_xlfn.DAYS(F241,E241)+1)/DAY(F241)))</f>
        <v/>
      </c>
      <c r="H241" s="127"/>
      <c r="I241" s="128" t="str">
        <f>IF($B240="","",IF($B240+1&gt;'Qredits maandlasten'!$C$4,"",I240-J240))</f>
        <v/>
      </c>
      <c r="J241" s="128" t="str">
        <f>IF($B240="","",IF($B240+1&gt;'Qredits maandlasten'!$C$4,"",IF(B240&lt;'Qredits maandlasten'!$C$11-1,0,IF('Qredits maandlasten'!$C$10=dropdowns!$A$121,'Qredits maandlasten'!$J$3,IF('Qredits maandlasten'!$C$10=dropdowns!$A$120,IFERROR('Qredits maandlasten'!$J$3-K241,0),0)))))</f>
        <v/>
      </c>
      <c r="K241" s="128" t="str">
        <f>IF($B240="","",IF($B240+1&gt;'Qredits maandlasten'!$C$4,"",G241*I241*'Qredits maandlasten'!$C$8))</f>
        <v/>
      </c>
      <c r="L241" s="128" t="str">
        <f t="shared" si="17"/>
        <v/>
      </c>
      <c r="M241" s="128" t="str">
        <f t="shared" si="15"/>
        <v/>
      </c>
      <c r="N241" s="127"/>
      <c r="O241" s="129" t="str">
        <f>IF($B241="","",'Qredits maandlasten'!$C$8)</f>
        <v/>
      </c>
      <c r="P241" s="129" t="str">
        <f>IF($B241="","",'Qredits maandlasten'!$C$8*(POWER(1+'Qredits maandlasten'!$C$8,$B241-1+1)))</f>
        <v/>
      </c>
      <c r="Q241" s="129" t="str">
        <f t="shared" si="18"/>
        <v/>
      </c>
      <c r="R241" s="127"/>
      <c r="S241" s="128" t="str">
        <f t="shared" si="16"/>
        <v/>
      </c>
      <c r="T241" s="128" t="str">
        <f>IF(S241="","",J241/(POWER(1+'Qredits maandlasten'!$C$8,$B241-1+1)))</f>
        <v/>
      </c>
      <c r="U241" s="130" t="str">
        <f t="shared" si="19"/>
        <v/>
      </c>
      <c r="V241" s="128" t="str">
        <f>IF($B241="","",K241/(POWER(1+'Qredits maandlasten'!$C$8,$B241-1+1)))</f>
        <v/>
      </c>
      <c r="W241" s="127"/>
    </row>
    <row r="242" spans="1:23" s="132" customFormat="1" x14ac:dyDescent="0.2">
      <c r="A242" s="123"/>
      <c r="B242" s="124" t="str">
        <f>IF($B241="","",IF($B241+1&gt;'Qredits maandlasten'!$C$4,"",Schema!B241+1))</f>
        <v/>
      </c>
      <c r="C242" s="125" t="str">
        <f>IF($B241="","",IF($B241+1&gt;'Qredits maandlasten'!$C$4,"",EOMONTH(C241,0)+1))</f>
        <v/>
      </c>
      <c r="D242" s="123"/>
      <c r="E242" s="125" t="str">
        <f>IF($B241="","",IF($B241+1&gt;'Qredits maandlasten'!$C$4,"",F241+1))</f>
        <v/>
      </c>
      <c r="F242" s="125" t="str">
        <f>IF($B241="","",IF($B241+1&gt;'Qredits maandlasten'!$C$4,"",EOMONTH(E242,0)))</f>
        <v/>
      </c>
      <c r="G242" s="126" t="str">
        <f>IF($B241="","",IF($B241+1&gt;'Qredits maandlasten'!$C$4,"",(_xlfn.DAYS(F242,E242)+1)/DAY(F242)))</f>
        <v/>
      </c>
      <c r="H242" s="127"/>
      <c r="I242" s="128" t="str">
        <f>IF($B241="","",IF($B241+1&gt;'Qredits maandlasten'!$C$4,"",I241-J241))</f>
        <v/>
      </c>
      <c r="J242" s="128" t="str">
        <f>IF($B241="","",IF($B241+1&gt;'Qredits maandlasten'!$C$4,"",IF(B241&lt;'Qredits maandlasten'!$C$11-1,0,IF('Qredits maandlasten'!$C$10=dropdowns!$A$121,'Qredits maandlasten'!$J$3,IF('Qredits maandlasten'!$C$10=dropdowns!$A$120,IFERROR('Qredits maandlasten'!$J$3-K242,0),0)))))</f>
        <v/>
      </c>
      <c r="K242" s="128" t="str">
        <f>IF($B241="","",IF($B241+1&gt;'Qredits maandlasten'!$C$4,"",G242*I242*'Qredits maandlasten'!$C$8))</f>
        <v/>
      </c>
      <c r="L242" s="128" t="str">
        <f t="shared" si="17"/>
        <v/>
      </c>
      <c r="M242" s="128" t="str">
        <f t="shared" si="15"/>
        <v/>
      </c>
      <c r="N242" s="127"/>
      <c r="O242" s="129" t="str">
        <f>IF($B242="","",'Qredits maandlasten'!$C$8)</f>
        <v/>
      </c>
      <c r="P242" s="129" t="str">
        <f>IF($B242="","",'Qredits maandlasten'!$C$8*(POWER(1+'Qredits maandlasten'!$C$8,$B242-1+1)))</f>
        <v/>
      </c>
      <c r="Q242" s="129" t="str">
        <f t="shared" si="18"/>
        <v/>
      </c>
      <c r="R242" s="127"/>
      <c r="S242" s="128" t="str">
        <f t="shared" si="16"/>
        <v/>
      </c>
      <c r="T242" s="128" t="str">
        <f>IF(S242="","",J242/(POWER(1+'Qredits maandlasten'!$C$8,$B242-1+1)))</f>
        <v/>
      </c>
      <c r="U242" s="130" t="str">
        <f t="shared" si="19"/>
        <v/>
      </c>
      <c r="V242" s="128" t="str">
        <f>IF($B242="","",K242/(POWER(1+'Qredits maandlasten'!$C$8,$B242-1+1)))</f>
        <v/>
      </c>
      <c r="W242" s="127"/>
    </row>
    <row r="243" spans="1:23" s="132" customFormat="1" x14ac:dyDescent="0.2">
      <c r="A243" s="123"/>
      <c r="B243" s="124" t="str">
        <f>IF($B242="","",IF($B242+1&gt;'Qredits maandlasten'!$C$4,"",Schema!B242+1))</f>
        <v/>
      </c>
      <c r="C243" s="125" t="str">
        <f>IF($B242="","",IF($B242+1&gt;'Qredits maandlasten'!$C$4,"",EOMONTH(C242,0)+1))</f>
        <v/>
      </c>
      <c r="D243" s="123"/>
      <c r="E243" s="125" t="str">
        <f>IF($B242="","",IF($B242+1&gt;'Qredits maandlasten'!$C$4,"",F242+1))</f>
        <v/>
      </c>
      <c r="F243" s="125" t="str">
        <f>IF($B242="","",IF($B242+1&gt;'Qredits maandlasten'!$C$4,"",EOMONTH(E243,0)))</f>
        <v/>
      </c>
      <c r="G243" s="126" t="str">
        <f>IF($B242="","",IF($B242+1&gt;'Qredits maandlasten'!$C$4,"",(_xlfn.DAYS(F243,E243)+1)/DAY(F243)))</f>
        <v/>
      </c>
      <c r="H243" s="127"/>
      <c r="I243" s="128" t="str">
        <f>IF($B242="","",IF($B242+1&gt;'Qredits maandlasten'!$C$4,"",I242-J242))</f>
        <v/>
      </c>
      <c r="J243" s="128" t="str">
        <f>IF($B242="","",IF($B242+1&gt;'Qredits maandlasten'!$C$4,"",IF(B242&lt;'Qredits maandlasten'!$C$11-1,0,IF('Qredits maandlasten'!$C$10=dropdowns!$A$121,'Qredits maandlasten'!$J$3,IF('Qredits maandlasten'!$C$10=dropdowns!$A$120,IFERROR('Qredits maandlasten'!$J$3-K243,0),0)))))</f>
        <v/>
      </c>
      <c r="K243" s="128" t="str">
        <f>IF($B242="","",IF($B242+1&gt;'Qredits maandlasten'!$C$4,"",G243*I243*'Qredits maandlasten'!$C$8))</f>
        <v/>
      </c>
      <c r="L243" s="128" t="str">
        <f t="shared" si="17"/>
        <v/>
      </c>
      <c r="M243" s="128" t="str">
        <f t="shared" si="15"/>
        <v/>
      </c>
      <c r="N243" s="127"/>
      <c r="O243" s="129" t="str">
        <f>IF($B243="","",'Qredits maandlasten'!$C$8)</f>
        <v/>
      </c>
      <c r="P243" s="129" t="str">
        <f>IF($B243="","",'Qredits maandlasten'!$C$8*(POWER(1+'Qredits maandlasten'!$C$8,$B243-1+1)))</f>
        <v/>
      </c>
      <c r="Q243" s="129" t="str">
        <f t="shared" si="18"/>
        <v/>
      </c>
      <c r="R243" s="127"/>
      <c r="S243" s="128" t="str">
        <f t="shared" si="16"/>
        <v/>
      </c>
      <c r="T243" s="128" t="str">
        <f>IF(S243="","",J243/(POWER(1+'Qredits maandlasten'!$C$8,$B243-1+1)))</f>
        <v/>
      </c>
      <c r="U243" s="130" t="str">
        <f t="shared" si="19"/>
        <v/>
      </c>
      <c r="V243" s="128" t="str">
        <f>IF($B243="","",K243/(POWER(1+'Qredits maandlasten'!$C$8,$B243-1+1)))</f>
        <v/>
      </c>
      <c r="W243" s="127"/>
    </row>
    <row r="244" spans="1:23" s="132" customFormat="1" x14ac:dyDescent="0.2">
      <c r="A244" s="123"/>
      <c r="B244" s="124" t="str">
        <f>IF($B243="","",IF($B243+1&gt;'Qredits maandlasten'!$C$4,"",Schema!B243+1))</f>
        <v/>
      </c>
      <c r="C244" s="125" t="str">
        <f>IF($B243="","",IF($B243+1&gt;'Qredits maandlasten'!$C$4,"",EOMONTH(C243,0)+1))</f>
        <v/>
      </c>
      <c r="D244" s="123"/>
      <c r="E244" s="125" t="str">
        <f>IF($B243="","",IF($B243+1&gt;'Qredits maandlasten'!$C$4,"",F243+1))</f>
        <v/>
      </c>
      <c r="F244" s="125" t="str">
        <f>IF($B243="","",IF($B243+1&gt;'Qredits maandlasten'!$C$4,"",EOMONTH(E244,0)))</f>
        <v/>
      </c>
      <c r="G244" s="126" t="str">
        <f>IF($B243="","",IF($B243+1&gt;'Qredits maandlasten'!$C$4,"",(_xlfn.DAYS(F244,E244)+1)/DAY(F244)))</f>
        <v/>
      </c>
      <c r="H244" s="127"/>
      <c r="I244" s="128" t="str">
        <f>IF($B243="","",IF($B243+1&gt;'Qredits maandlasten'!$C$4,"",I243-J243))</f>
        <v/>
      </c>
      <c r="J244" s="128" t="str">
        <f>IF($B243="","",IF($B243+1&gt;'Qredits maandlasten'!$C$4,"",IF(B243&lt;'Qredits maandlasten'!$C$11-1,0,IF('Qredits maandlasten'!$C$10=dropdowns!$A$121,'Qredits maandlasten'!$J$3,IF('Qredits maandlasten'!$C$10=dropdowns!$A$120,IFERROR('Qredits maandlasten'!$J$3-K244,0),0)))))</f>
        <v/>
      </c>
      <c r="K244" s="128" t="str">
        <f>IF($B243="","",IF($B243+1&gt;'Qredits maandlasten'!$C$4,"",G244*I244*'Qredits maandlasten'!$C$8))</f>
        <v/>
      </c>
      <c r="L244" s="128" t="str">
        <f t="shared" si="17"/>
        <v/>
      </c>
      <c r="M244" s="128" t="str">
        <f t="shared" si="15"/>
        <v/>
      </c>
      <c r="N244" s="127"/>
      <c r="O244" s="129" t="str">
        <f>IF($B244="","",'Qredits maandlasten'!$C$8)</f>
        <v/>
      </c>
      <c r="P244" s="129" t="str">
        <f>IF($B244="","",'Qredits maandlasten'!$C$8*(POWER(1+'Qredits maandlasten'!$C$8,$B244-1+1)))</f>
        <v/>
      </c>
      <c r="Q244" s="129" t="str">
        <f t="shared" si="18"/>
        <v/>
      </c>
      <c r="R244" s="127"/>
      <c r="S244" s="128" t="str">
        <f t="shared" si="16"/>
        <v/>
      </c>
      <c r="T244" s="128" t="str">
        <f>IF(S244="","",J244/(POWER(1+'Qredits maandlasten'!$C$8,$B244-1+1)))</f>
        <v/>
      </c>
      <c r="U244" s="130" t="str">
        <f t="shared" si="19"/>
        <v/>
      </c>
      <c r="V244" s="128" t="str">
        <f>IF($B244="","",K244/(POWER(1+'Qredits maandlasten'!$C$8,$B244-1+1)))</f>
        <v/>
      </c>
      <c r="W244" s="127"/>
    </row>
    <row r="245" spans="1:23" s="132" customFormat="1" x14ac:dyDescent="0.2">
      <c r="A245" s="123"/>
      <c r="B245" s="124" t="str">
        <f>IF($B244="","",IF($B244+1&gt;'Qredits maandlasten'!$C$4,"",Schema!B244+1))</f>
        <v/>
      </c>
      <c r="C245" s="125" t="str">
        <f>IF($B244="","",IF($B244+1&gt;'Qredits maandlasten'!$C$4,"",EOMONTH(C244,0)+1))</f>
        <v/>
      </c>
      <c r="D245" s="123"/>
      <c r="E245" s="125" t="str">
        <f>IF($B244="","",IF($B244+1&gt;'Qredits maandlasten'!$C$4,"",F244+1))</f>
        <v/>
      </c>
      <c r="F245" s="125" t="str">
        <f>IF($B244="","",IF($B244+1&gt;'Qredits maandlasten'!$C$4,"",EOMONTH(E245,0)))</f>
        <v/>
      </c>
      <c r="G245" s="126" t="str">
        <f>IF($B244="","",IF($B244+1&gt;'Qredits maandlasten'!$C$4,"",(_xlfn.DAYS(F245,E245)+1)/DAY(F245)))</f>
        <v/>
      </c>
      <c r="H245" s="127"/>
      <c r="I245" s="128" t="str">
        <f>IF($B244="","",IF($B244+1&gt;'Qredits maandlasten'!$C$4,"",I244-J244))</f>
        <v/>
      </c>
      <c r="J245" s="128" t="str">
        <f>IF($B244="","",IF($B244+1&gt;'Qredits maandlasten'!$C$4,"",IF(B244&lt;'Qredits maandlasten'!$C$11-1,0,IF('Qredits maandlasten'!$C$10=dropdowns!$A$121,'Qredits maandlasten'!$J$3,IF('Qredits maandlasten'!$C$10=dropdowns!$A$120,IFERROR('Qredits maandlasten'!$J$3-K245,0),0)))))</f>
        <v/>
      </c>
      <c r="K245" s="128" t="str">
        <f>IF($B244="","",IF($B244+1&gt;'Qredits maandlasten'!$C$4,"",G245*I245*'Qredits maandlasten'!$C$8))</f>
        <v/>
      </c>
      <c r="L245" s="128" t="str">
        <f t="shared" si="17"/>
        <v/>
      </c>
      <c r="M245" s="128" t="str">
        <f t="shared" si="15"/>
        <v/>
      </c>
      <c r="N245" s="127"/>
      <c r="O245" s="129" t="str">
        <f>IF($B245="","",'Qredits maandlasten'!$C$8)</f>
        <v/>
      </c>
      <c r="P245" s="129" t="str">
        <f>IF($B245="","",'Qredits maandlasten'!$C$8*(POWER(1+'Qredits maandlasten'!$C$8,$B245-1+1)))</f>
        <v/>
      </c>
      <c r="Q245" s="129" t="str">
        <f t="shared" si="18"/>
        <v/>
      </c>
      <c r="R245" s="127"/>
      <c r="S245" s="128" t="str">
        <f t="shared" si="16"/>
        <v/>
      </c>
      <c r="T245" s="128" t="str">
        <f>IF(S245="","",J245/(POWER(1+'Qredits maandlasten'!$C$8,$B245-1+1)))</f>
        <v/>
      </c>
      <c r="U245" s="130" t="str">
        <f t="shared" si="19"/>
        <v/>
      </c>
      <c r="V245" s="128" t="str">
        <f>IF($B245="","",K245/(POWER(1+'Qredits maandlasten'!$C$8,$B245-1+1)))</f>
        <v/>
      </c>
      <c r="W245" s="127"/>
    </row>
    <row r="246" spans="1:23" s="132" customFormat="1" x14ac:dyDescent="0.2">
      <c r="A246" s="123"/>
      <c r="B246" s="124" t="str">
        <f>IF($B245="","",IF($B245+1&gt;'Qredits maandlasten'!$C$4,"",Schema!B245+1))</f>
        <v/>
      </c>
      <c r="C246" s="125" t="str">
        <f>IF($B245="","",IF($B245+1&gt;'Qredits maandlasten'!$C$4,"",EOMONTH(C245,0)+1))</f>
        <v/>
      </c>
      <c r="D246" s="123"/>
      <c r="E246" s="125" t="str">
        <f>IF($B245="","",IF($B245+1&gt;'Qredits maandlasten'!$C$4,"",F245+1))</f>
        <v/>
      </c>
      <c r="F246" s="125" t="str">
        <f>IF($B245="","",IF($B245+1&gt;'Qredits maandlasten'!$C$4,"",EOMONTH(E246,0)))</f>
        <v/>
      </c>
      <c r="G246" s="126" t="str">
        <f>IF($B245="","",IF($B245+1&gt;'Qredits maandlasten'!$C$4,"",(_xlfn.DAYS(F246,E246)+1)/DAY(F246)))</f>
        <v/>
      </c>
      <c r="H246" s="127"/>
      <c r="I246" s="128" t="str">
        <f>IF($B245="","",IF($B245+1&gt;'Qredits maandlasten'!$C$4,"",I245-J245))</f>
        <v/>
      </c>
      <c r="J246" s="128" t="str">
        <f>IF($B245="","",IF($B245+1&gt;'Qredits maandlasten'!$C$4,"",IF(B245&lt;'Qredits maandlasten'!$C$11-1,0,IF('Qredits maandlasten'!$C$10=dropdowns!$A$121,'Qredits maandlasten'!$J$3,IF('Qredits maandlasten'!$C$10=dropdowns!$A$120,IFERROR('Qredits maandlasten'!$J$3-K246,0),0)))))</f>
        <v/>
      </c>
      <c r="K246" s="128" t="str">
        <f>IF($B245="","",IF($B245+1&gt;'Qredits maandlasten'!$C$4,"",G246*I246*'Qredits maandlasten'!$C$8))</f>
        <v/>
      </c>
      <c r="L246" s="128" t="str">
        <f t="shared" si="17"/>
        <v/>
      </c>
      <c r="M246" s="128" t="str">
        <f t="shared" si="15"/>
        <v/>
      </c>
      <c r="N246" s="127"/>
      <c r="O246" s="129" t="str">
        <f>IF($B246="","",'Qredits maandlasten'!$C$8)</f>
        <v/>
      </c>
      <c r="P246" s="129" t="str">
        <f>IF($B246="","",'Qredits maandlasten'!$C$8*(POWER(1+'Qredits maandlasten'!$C$8,$B246-1+1)))</f>
        <v/>
      </c>
      <c r="Q246" s="129" t="str">
        <f t="shared" si="18"/>
        <v/>
      </c>
      <c r="R246" s="127"/>
      <c r="S246" s="128" t="str">
        <f t="shared" si="16"/>
        <v/>
      </c>
      <c r="T246" s="128" t="str">
        <f>IF(S246="","",J246/(POWER(1+'Qredits maandlasten'!$C$8,$B246-1+1)))</f>
        <v/>
      </c>
      <c r="U246" s="130" t="str">
        <f t="shared" si="19"/>
        <v/>
      </c>
      <c r="V246" s="128" t="str">
        <f>IF($B246="","",K246/(POWER(1+'Qredits maandlasten'!$C$8,$B246-1+1)))</f>
        <v/>
      </c>
      <c r="W246" s="127"/>
    </row>
    <row r="247" spans="1:23" s="132" customFormat="1" x14ac:dyDescent="0.2">
      <c r="A247" s="123"/>
      <c r="B247" s="124" t="str">
        <f>IF($B246="","",IF($B246+1&gt;'Qredits maandlasten'!$C$4,"",Schema!B246+1))</f>
        <v/>
      </c>
      <c r="C247" s="125" t="str">
        <f>IF($B246="","",IF($B246+1&gt;'Qredits maandlasten'!$C$4,"",EOMONTH(C246,0)+1))</f>
        <v/>
      </c>
      <c r="D247" s="123"/>
      <c r="E247" s="125" t="str">
        <f>IF($B246="","",IF($B246+1&gt;'Qredits maandlasten'!$C$4,"",F246+1))</f>
        <v/>
      </c>
      <c r="F247" s="125" t="str">
        <f>IF($B246="","",IF($B246+1&gt;'Qredits maandlasten'!$C$4,"",EOMONTH(E247,0)))</f>
        <v/>
      </c>
      <c r="G247" s="126" t="str">
        <f>IF($B246="","",IF($B246+1&gt;'Qredits maandlasten'!$C$4,"",(_xlfn.DAYS(F247,E247)+1)/DAY(F247)))</f>
        <v/>
      </c>
      <c r="H247" s="127"/>
      <c r="I247" s="128" t="str">
        <f>IF($B246="","",IF($B246+1&gt;'Qredits maandlasten'!$C$4,"",I246-J246))</f>
        <v/>
      </c>
      <c r="J247" s="128" t="str">
        <f>IF($B246="","",IF($B246+1&gt;'Qredits maandlasten'!$C$4,"",IF(B246&lt;'Qredits maandlasten'!$C$11-1,0,IF('Qredits maandlasten'!$C$10=dropdowns!$A$121,'Qredits maandlasten'!$J$3,IF('Qredits maandlasten'!$C$10=dropdowns!$A$120,IFERROR('Qredits maandlasten'!$J$3-K247,0),0)))))</f>
        <v/>
      </c>
      <c r="K247" s="128" t="str">
        <f>IF($B246="","",IF($B246+1&gt;'Qredits maandlasten'!$C$4,"",G247*I247*'Qredits maandlasten'!$C$8))</f>
        <v/>
      </c>
      <c r="L247" s="128" t="str">
        <f t="shared" si="17"/>
        <v/>
      </c>
      <c r="M247" s="128" t="str">
        <f t="shared" si="15"/>
        <v/>
      </c>
      <c r="N247" s="127"/>
      <c r="O247" s="129" t="str">
        <f>IF($B247="","",'Qredits maandlasten'!$C$8)</f>
        <v/>
      </c>
      <c r="P247" s="129" t="str">
        <f>IF($B247="","",'Qredits maandlasten'!$C$8*(POWER(1+'Qredits maandlasten'!$C$8,$B247-1+1)))</f>
        <v/>
      </c>
      <c r="Q247" s="129" t="str">
        <f t="shared" si="18"/>
        <v/>
      </c>
      <c r="R247" s="127"/>
      <c r="S247" s="128" t="str">
        <f t="shared" si="16"/>
        <v/>
      </c>
      <c r="T247" s="128" t="str">
        <f>IF(S247="","",J247/(POWER(1+'Qredits maandlasten'!$C$8,$B247-1+1)))</f>
        <v/>
      </c>
      <c r="U247" s="130" t="str">
        <f t="shared" si="19"/>
        <v/>
      </c>
      <c r="V247" s="128" t="str">
        <f>IF($B247="","",K247/(POWER(1+'Qredits maandlasten'!$C$8,$B247-1+1)))</f>
        <v/>
      </c>
      <c r="W247" s="127"/>
    </row>
    <row r="248" spans="1:23" s="132" customFormat="1" x14ac:dyDescent="0.2">
      <c r="A248" s="123"/>
      <c r="B248" s="124" t="str">
        <f>IF($B247="","",IF($B247+1&gt;'Qredits maandlasten'!$C$4,"",Schema!B247+1))</f>
        <v/>
      </c>
      <c r="C248" s="125" t="str">
        <f>IF($B247="","",IF($B247+1&gt;'Qredits maandlasten'!$C$4,"",EOMONTH(C247,0)+1))</f>
        <v/>
      </c>
      <c r="D248" s="123"/>
      <c r="E248" s="125" t="str">
        <f>IF($B247="","",IF($B247+1&gt;'Qredits maandlasten'!$C$4,"",F247+1))</f>
        <v/>
      </c>
      <c r="F248" s="125" t="str">
        <f>IF($B247="","",IF($B247+1&gt;'Qredits maandlasten'!$C$4,"",EOMONTH(E248,0)))</f>
        <v/>
      </c>
      <c r="G248" s="126" t="str">
        <f>IF($B247="","",IF($B247+1&gt;'Qredits maandlasten'!$C$4,"",(_xlfn.DAYS(F248,E248)+1)/DAY(F248)))</f>
        <v/>
      </c>
      <c r="H248" s="127"/>
      <c r="I248" s="128" t="str">
        <f>IF($B247="","",IF($B247+1&gt;'Qredits maandlasten'!$C$4,"",I247-J247))</f>
        <v/>
      </c>
      <c r="J248" s="128" t="str">
        <f>IF($B247="","",IF($B247+1&gt;'Qredits maandlasten'!$C$4,"",IF(B247&lt;'Qredits maandlasten'!$C$11-1,0,IF('Qredits maandlasten'!$C$10=dropdowns!$A$121,'Qredits maandlasten'!$J$3,IF('Qredits maandlasten'!$C$10=dropdowns!$A$120,IFERROR('Qredits maandlasten'!$J$3-K248,0),0)))))</f>
        <v/>
      </c>
      <c r="K248" s="128" t="str">
        <f>IF($B247="","",IF($B247+1&gt;'Qredits maandlasten'!$C$4,"",G248*I248*'Qredits maandlasten'!$C$8))</f>
        <v/>
      </c>
      <c r="L248" s="128" t="str">
        <f t="shared" si="17"/>
        <v/>
      </c>
      <c r="M248" s="128" t="str">
        <f t="shared" si="15"/>
        <v/>
      </c>
      <c r="N248" s="127"/>
      <c r="O248" s="129" t="str">
        <f>IF($B248="","",'Qredits maandlasten'!$C$8)</f>
        <v/>
      </c>
      <c r="P248" s="129" t="str">
        <f>IF($B248="","",'Qredits maandlasten'!$C$8*(POWER(1+'Qredits maandlasten'!$C$8,$B248-1+1)))</f>
        <v/>
      </c>
      <c r="Q248" s="129" t="str">
        <f t="shared" si="18"/>
        <v/>
      </c>
      <c r="R248" s="127"/>
      <c r="S248" s="128" t="str">
        <f t="shared" si="16"/>
        <v/>
      </c>
      <c r="T248" s="128" t="str">
        <f>IF(S248="","",J248/(POWER(1+'Qredits maandlasten'!$C$8,$B248-1+1)))</f>
        <v/>
      </c>
      <c r="U248" s="130" t="str">
        <f t="shared" si="19"/>
        <v/>
      </c>
      <c r="V248" s="128" t="str">
        <f>IF($B248="","",K248/(POWER(1+'Qredits maandlasten'!$C$8,$B248-1+1)))</f>
        <v/>
      </c>
      <c r="W248" s="127"/>
    </row>
    <row r="249" spans="1:23" s="132" customFormat="1" x14ac:dyDescent="0.2">
      <c r="A249" s="123"/>
      <c r="B249" s="124" t="str">
        <f>IF($B248="","",IF($B248+1&gt;'Qredits maandlasten'!$C$4,"",Schema!B248+1))</f>
        <v/>
      </c>
      <c r="C249" s="125" t="str">
        <f>IF($B248="","",IF($B248+1&gt;'Qredits maandlasten'!$C$4,"",EOMONTH(C248,0)+1))</f>
        <v/>
      </c>
      <c r="D249" s="123"/>
      <c r="E249" s="125" t="str">
        <f>IF($B248="","",IF($B248+1&gt;'Qredits maandlasten'!$C$4,"",F248+1))</f>
        <v/>
      </c>
      <c r="F249" s="125" t="str">
        <f>IF($B248="","",IF($B248+1&gt;'Qredits maandlasten'!$C$4,"",EOMONTH(E249,0)))</f>
        <v/>
      </c>
      <c r="G249" s="126" t="str">
        <f>IF($B248="","",IF($B248+1&gt;'Qredits maandlasten'!$C$4,"",(_xlfn.DAYS(F249,E249)+1)/DAY(F249)))</f>
        <v/>
      </c>
      <c r="H249" s="127"/>
      <c r="I249" s="128" t="str">
        <f>IF($B248="","",IF($B248+1&gt;'Qredits maandlasten'!$C$4,"",I248-J248))</f>
        <v/>
      </c>
      <c r="J249" s="128" t="str">
        <f>IF($B248="","",IF($B248+1&gt;'Qredits maandlasten'!$C$4,"",IF(B248&lt;'Qredits maandlasten'!$C$11-1,0,IF('Qredits maandlasten'!$C$10=dropdowns!$A$121,'Qredits maandlasten'!$J$3,IF('Qredits maandlasten'!$C$10=dropdowns!$A$120,IFERROR('Qredits maandlasten'!$J$3-K249,0),0)))))</f>
        <v/>
      </c>
      <c r="K249" s="128" t="str">
        <f>IF($B248="","",IF($B248+1&gt;'Qredits maandlasten'!$C$4,"",G249*I249*'Qredits maandlasten'!$C$8))</f>
        <v/>
      </c>
      <c r="L249" s="128" t="str">
        <f t="shared" si="17"/>
        <v/>
      </c>
      <c r="M249" s="128" t="str">
        <f t="shared" si="15"/>
        <v/>
      </c>
      <c r="N249" s="127"/>
      <c r="O249" s="129" t="str">
        <f>IF($B249="","",'Qredits maandlasten'!$C$8)</f>
        <v/>
      </c>
      <c r="P249" s="129" t="str">
        <f>IF($B249="","",'Qredits maandlasten'!$C$8*(POWER(1+'Qredits maandlasten'!$C$8,$B249-1+1)))</f>
        <v/>
      </c>
      <c r="Q249" s="129" t="str">
        <f t="shared" si="18"/>
        <v/>
      </c>
      <c r="R249" s="127"/>
      <c r="S249" s="128" t="str">
        <f t="shared" si="16"/>
        <v/>
      </c>
      <c r="T249" s="128" t="str">
        <f>IF(S249="","",J249/(POWER(1+'Qredits maandlasten'!$C$8,$B249-1+1)))</f>
        <v/>
      </c>
      <c r="U249" s="130" t="str">
        <f t="shared" si="19"/>
        <v/>
      </c>
      <c r="V249" s="128" t="str">
        <f>IF($B249="","",K249/(POWER(1+'Qredits maandlasten'!$C$8,$B249-1+1)))</f>
        <v/>
      </c>
      <c r="W249" s="127"/>
    </row>
    <row r="250" spans="1:23" s="132" customFormat="1" x14ac:dyDescent="0.2">
      <c r="A250" s="123"/>
      <c r="B250" s="124" t="str">
        <f>IF($B249="","",IF($B249+1&gt;'Qredits maandlasten'!$C$4,"",Schema!B249+1))</f>
        <v/>
      </c>
      <c r="C250" s="125" t="str">
        <f>IF($B249="","",IF($B249+1&gt;'Qredits maandlasten'!$C$4,"",EOMONTH(C249,0)+1))</f>
        <v/>
      </c>
      <c r="D250" s="123"/>
      <c r="E250" s="125" t="str">
        <f>IF($B249="","",IF($B249+1&gt;'Qredits maandlasten'!$C$4,"",F249+1))</f>
        <v/>
      </c>
      <c r="F250" s="125" t="str">
        <f>IF($B249="","",IF($B249+1&gt;'Qredits maandlasten'!$C$4,"",EOMONTH(E250,0)))</f>
        <v/>
      </c>
      <c r="G250" s="126" t="str">
        <f>IF($B249="","",IF($B249+1&gt;'Qredits maandlasten'!$C$4,"",(_xlfn.DAYS(F250,E250)+1)/DAY(F250)))</f>
        <v/>
      </c>
      <c r="H250" s="127"/>
      <c r="I250" s="128" t="str">
        <f>IF($B249="","",IF($B249+1&gt;'Qredits maandlasten'!$C$4,"",I249-J249))</f>
        <v/>
      </c>
      <c r="J250" s="128" t="str">
        <f>IF($B249="","",IF($B249+1&gt;'Qredits maandlasten'!$C$4,"",IF(B249&lt;'Qredits maandlasten'!$C$11-1,0,IF('Qredits maandlasten'!$C$10=dropdowns!$A$121,'Qredits maandlasten'!$J$3,IF('Qredits maandlasten'!$C$10=dropdowns!$A$120,IFERROR('Qredits maandlasten'!$J$3-K250,0),0)))))</f>
        <v/>
      </c>
      <c r="K250" s="128" t="str">
        <f>IF($B249="","",IF($B249+1&gt;'Qredits maandlasten'!$C$4,"",G250*I250*'Qredits maandlasten'!$C$8))</f>
        <v/>
      </c>
      <c r="L250" s="128" t="str">
        <f t="shared" si="17"/>
        <v/>
      </c>
      <c r="M250" s="128" t="str">
        <f t="shared" si="15"/>
        <v/>
      </c>
      <c r="N250" s="127"/>
      <c r="O250" s="129" t="str">
        <f>IF($B250="","",'Qredits maandlasten'!$C$8)</f>
        <v/>
      </c>
      <c r="P250" s="129" t="str">
        <f>IF($B250="","",'Qredits maandlasten'!$C$8*(POWER(1+'Qredits maandlasten'!$C$8,$B250-1+1)))</f>
        <v/>
      </c>
      <c r="Q250" s="129" t="str">
        <f t="shared" si="18"/>
        <v/>
      </c>
      <c r="R250" s="127"/>
      <c r="S250" s="128" t="str">
        <f t="shared" si="16"/>
        <v/>
      </c>
      <c r="T250" s="128" t="str">
        <f>IF(S250="","",J250/(POWER(1+'Qredits maandlasten'!$C$8,$B250-1+1)))</f>
        <v/>
      </c>
      <c r="U250" s="130" t="str">
        <f t="shared" si="19"/>
        <v/>
      </c>
      <c r="V250" s="128" t="str">
        <f>IF($B250="","",K250/(POWER(1+'Qredits maandlasten'!$C$8,$B250-1+1)))</f>
        <v/>
      </c>
      <c r="W250" s="127"/>
    </row>
    <row r="251" spans="1:23" s="132" customFormat="1" x14ac:dyDescent="0.2">
      <c r="A251" s="123"/>
      <c r="B251" s="124" t="str">
        <f>IF($B250="","",IF($B250+1&gt;'Qredits maandlasten'!$C$4,"",Schema!B250+1))</f>
        <v/>
      </c>
      <c r="C251" s="125" t="str">
        <f>IF($B250="","",IF($B250+1&gt;'Qredits maandlasten'!$C$4,"",EOMONTH(C250,0)+1))</f>
        <v/>
      </c>
      <c r="D251" s="123"/>
      <c r="E251" s="125" t="str">
        <f>IF($B250="","",IF($B250+1&gt;'Qredits maandlasten'!$C$4,"",F250+1))</f>
        <v/>
      </c>
      <c r="F251" s="125" t="str">
        <f>IF($B250="","",IF($B250+1&gt;'Qredits maandlasten'!$C$4,"",EOMONTH(E251,0)))</f>
        <v/>
      </c>
      <c r="G251" s="126" t="str">
        <f>IF($B250="","",IF($B250+1&gt;'Qredits maandlasten'!$C$4,"",(_xlfn.DAYS(F251,E251)+1)/DAY(F251)))</f>
        <v/>
      </c>
      <c r="H251" s="127"/>
      <c r="I251" s="128" t="str">
        <f>IF($B250="","",IF($B250+1&gt;'Qredits maandlasten'!$C$4,"",I250-J250))</f>
        <v/>
      </c>
      <c r="J251" s="128" t="str">
        <f>IF($B250="","",IF($B250+1&gt;'Qredits maandlasten'!$C$4,"",IF(B250&lt;'Qredits maandlasten'!$C$11-1,0,IF('Qredits maandlasten'!$C$10=dropdowns!$A$121,'Qredits maandlasten'!$J$3,IF('Qredits maandlasten'!$C$10=dropdowns!$A$120,IFERROR('Qredits maandlasten'!$J$3-K251,0),0)))))</f>
        <v/>
      </c>
      <c r="K251" s="128" t="str">
        <f>IF($B250="","",IF($B250+1&gt;'Qredits maandlasten'!$C$4,"",G251*I251*'Qredits maandlasten'!$C$8))</f>
        <v/>
      </c>
      <c r="L251" s="128" t="str">
        <f t="shared" si="17"/>
        <v/>
      </c>
      <c r="M251" s="128" t="str">
        <f t="shared" si="15"/>
        <v/>
      </c>
      <c r="N251" s="127"/>
      <c r="O251" s="129" t="str">
        <f>IF($B251="","",'Qredits maandlasten'!$C$8)</f>
        <v/>
      </c>
      <c r="P251" s="129" t="str">
        <f>IF($B251="","",'Qredits maandlasten'!$C$8*(POWER(1+'Qredits maandlasten'!$C$8,$B251-1+1)))</f>
        <v/>
      </c>
      <c r="Q251" s="129" t="str">
        <f t="shared" si="18"/>
        <v/>
      </c>
      <c r="R251" s="127"/>
      <c r="S251" s="128" t="str">
        <f t="shared" si="16"/>
        <v/>
      </c>
      <c r="T251" s="128" t="str">
        <f>IF(S251="","",J251/(POWER(1+'Qredits maandlasten'!$C$8,$B251-1+1)))</f>
        <v/>
      </c>
      <c r="U251" s="130" t="str">
        <f t="shared" si="19"/>
        <v/>
      </c>
      <c r="V251" s="128" t="str">
        <f>IF($B251="","",K251/(POWER(1+'Qredits maandlasten'!$C$8,$B251-1+1)))</f>
        <v/>
      </c>
      <c r="W251" s="127"/>
    </row>
    <row r="252" spans="1:23" s="132" customFormat="1" x14ac:dyDescent="0.2">
      <c r="A252" s="123"/>
      <c r="B252" s="124" t="str">
        <f>IF($B251="","",IF($B251+1&gt;'Qredits maandlasten'!$C$4,"",Schema!B251+1))</f>
        <v/>
      </c>
      <c r="C252" s="125" t="str">
        <f>IF($B251="","",IF($B251+1&gt;'Qredits maandlasten'!$C$4,"",EOMONTH(C251,0)+1))</f>
        <v/>
      </c>
      <c r="D252" s="123"/>
      <c r="E252" s="125" t="str">
        <f>IF($B251="","",IF($B251+1&gt;'Qredits maandlasten'!$C$4,"",F251+1))</f>
        <v/>
      </c>
      <c r="F252" s="125" t="str">
        <f>IF($B251="","",IF($B251+1&gt;'Qredits maandlasten'!$C$4,"",EOMONTH(E252,0)))</f>
        <v/>
      </c>
      <c r="G252" s="126" t="str">
        <f>IF($B251="","",IF($B251+1&gt;'Qredits maandlasten'!$C$4,"",(_xlfn.DAYS(F252,E252)+1)/DAY(F252)))</f>
        <v/>
      </c>
      <c r="H252" s="127"/>
      <c r="I252" s="128" t="str">
        <f>IF($B251="","",IF($B251+1&gt;'Qredits maandlasten'!$C$4,"",I251-J251))</f>
        <v/>
      </c>
      <c r="J252" s="128" t="str">
        <f>IF($B251="","",IF($B251+1&gt;'Qredits maandlasten'!$C$4,"",IF(B251&lt;'Qredits maandlasten'!$C$11-1,0,IF('Qredits maandlasten'!$C$10=dropdowns!$A$121,'Qredits maandlasten'!$J$3,IF('Qredits maandlasten'!$C$10=dropdowns!$A$120,IFERROR('Qredits maandlasten'!$J$3-K252,0),0)))))</f>
        <v/>
      </c>
      <c r="K252" s="128" t="str">
        <f>IF($B251="","",IF($B251+1&gt;'Qredits maandlasten'!$C$4,"",G252*I252*'Qredits maandlasten'!$C$8))</f>
        <v/>
      </c>
      <c r="L252" s="128" t="str">
        <f t="shared" si="17"/>
        <v/>
      </c>
      <c r="M252" s="128" t="str">
        <f t="shared" si="15"/>
        <v/>
      </c>
      <c r="N252" s="127"/>
      <c r="O252" s="129" t="str">
        <f>IF($B252="","",'Qredits maandlasten'!$C$8)</f>
        <v/>
      </c>
      <c r="P252" s="129" t="str">
        <f>IF($B252="","",'Qredits maandlasten'!$C$8*(POWER(1+'Qredits maandlasten'!$C$8,$B252-1+1)))</f>
        <v/>
      </c>
      <c r="Q252" s="129" t="str">
        <f t="shared" si="18"/>
        <v/>
      </c>
      <c r="R252" s="127"/>
      <c r="S252" s="128" t="str">
        <f t="shared" si="16"/>
        <v/>
      </c>
      <c r="T252" s="128" t="str">
        <f>IF(S252="","",J252/(POWER(1+'Qredits maandlasten'!$C$8,$B252-1+1)))</f>
        <v/>
      </c>
      <c r="U252" s="130" t="str">
        <f t="shared" si="19"/>
        <v/>
      </c>
      <c r="V252" s="128" t="str">
        <f>IF($B252="","",K252/(POWER(1+'Qredits maandlasten'!$C$8,$B252-1+1)))</f>
        <v/>
      </c>
      <c r="W252" s="127"/>
    </row>
    <row r="253" spans="1:23" s="132" customFormat="1" x14ac:dyDescent="0.2">
      <c r="A253" s="123"/>
      <c r="B253" s="124" t="str">
        <f>IF($B252="","",IF($B252+1&gt;'Qredits maandlasten'!$C$4,"",Schema!B252+1))</f>
        <v/>
      </c>
      <c r="C253" s="125" t="str">
        <f>IF($B252="","",IF($B252+1&gt;'Qredits maandlasten'!$C$4,"",EOMONTH(C252,0)+1))</f>
        <v/>
      </c>
      <c r="D253" s="123"/>
      <c r="E253" s="125" t="str">
        <f>IF($B252="","",IF($B252+1&gt;'Qredits maandlasten'!$C$4,"",F252+1))</f>
        <v/>
      </c>
      <c r="F253" s="125" t="str">
        <f>IF($B252="","",IF($B252+1&gt;'Qredits maandlasten'!$C$4,"",EOMONTH(E253,0)))</f>
        <v/>
      </c>
      <c r="G253" s="126" t="str">
        <f>IF($B252="","",IF($B252+1&gt;'Qredits maandlasten'!$C$4,"",(_xlfn.DAYS(F253,E253)+1)/DAY(F253)))</f>
        <v/>
      </c>
      <c r="H253" s="127"/>
      <c r="I253" s="128" t="str">
        <f>IF($B252="","",IF($B252+1&gt;'Qredits maandlasten'!$C$4,"",I252-J252))</f>
        <v/>
      </c>
      <c r="J253" s="128" t="str">
        <f>IF($B252="","",IF($B252+1&gt;'Qredits maandlasten'!$C$4,"",IF(B252&lt;'Qredits maandlasten'!$C$11-1,0,IF('Qredits maandlasten'!$C$10=dropdowns!$A$121,'Qredits maandlasten'!$J$3,IF('Qredits maandlasten'!$C$10=dropdowns!$A$120,IFERROR('Qredits maandlasten'!$J$3-K253,0),0)))))</f>
        <v/>
      </c>
      <c r="K253" s="128" t="str">
        <f>IF($B252="","",IF($B252+1&gt;'Qredits maandlasten'!$C$4,"",G253*I253*'Qredits maandlasten'!$C$8))</f>
        <v/>
      </c>
      <c r="L253" s="128" t="str">
        <f t="shared" si="17"/>
        <v/>
      </c>
      <c r="M253" s="128" t="str">
        <f t="shared" si="15"/>
        <v/>
      </c>
      <c r="N253" s="127"/>
      <c r="O253" s="129" t="str">
        <f>IF($B253="","",'Qredits maandlasten'!$C$8)</f>
        <v/>
      </c>
      <c r="P253" s="129" t="str">
        <f>IF($B253="","",'Qredits maandlasten'!$C$8*(POWER(1+'Qredits maandlasten'!$C$8,$B253-1+1)))</f>
        <v/>
      </c>
      <c r="Q253" s="129" t="str">
        <f t="shared" si="18"/>
        <v/>
      </c>
      <c r="R253" s="127"/>
      <c r="S253" s="128" t="str">
        <f t="shared" si="16"/>
        <v/>
      </c>
      <c r="T253" s="128" t="str">
        <f>IF(S253="","",J253/(POWER(1+'Qredits maandlasten'!$C$8,$B253-1+1)))</f>
        <v/>
      </c>
      <c r="U253" s="130" t="str">
        <f t="shared" si="19"/>
        <v/>
      </c>
      <c r="V253" s="128" t="str">
        <f>IF($B253="","",K253/(POWER(1+'Qredits maandlasten'!$C$8,$B253-1+1)))</f>
        <v/>
      </c>
      <c r="W253" s="127"/>
    </row>
    <row r="254" spans="1:23" s="132" customFormat="1" x14ac:dyDescent="0.2">
      <c r="A254" s="123"/>
      <c r="B254" s="124" t="str">
        <f>IF($B253="","",IF($B253+1&gt;'Qredits maandlasten'!$C$4,"",Schema!B253+1))</f>
        <v/>
      </c>
      <c r="C254" s="125" t="str">
        <f>IF($B253="","",IF($B253+1&gt;'Qredits maandlasten'!$C$4,"",EOMONTH(C253,0)+1))</f>
        <v/>
      </c>
      <c r="D254" s="123"/>
      <c r="E254" s="125" t="str">
        <f>IF($B253="","",IF($B253+1&gt;'Qredits maandlasten'!$C$4,"",F253+1))</f>
        <v/>
      </c>
      <c r="F254" s="125" t="str">
        <f>IF($B253="","",IF($B253+1&gt;'Qredits maandlasten'!$C$4,"",EOMONTH(E254,0)))</f>
        <v/>
      </c>
      <c r="G254" s="126" t="str">
        <f>IF($B253="","",IF($B253+1&gt;'Qredits maandlasten'!$C$4,"",(_xlfn.DAYS(F254,E254)+1)/DAY(F254)))</f>
        <v/>
      </c>
      <c r="H254" s="127"/>
      <c r="I254" s="128" t="str">
        <f>IF($B253="","",IF($B253+1&gt;'Qredits maandlasten'!$C$4,"",I253-J253))</f>
        <v/>
      </c>
      <c r="J254" s="128" t="str">
        <f>IF($B253="","",IF($B253+1&gt;'Qredits maandlasten'!$C$4,"",IF(B253&lt;'Qredits maandlasten'!$C$11-1,0,IF('Qredits maandlasten'!$C$10=dropdowns!$A$121,'Qredits maandlasten'!$J$3,IF('Qredits maandlasten'!$C$10=dropdowns!$A$120,IFERROR('Qredits maandlasten'!$J$3-K254,0),0)))))</f>
        <v/>
      </c>
      <c r="K254" s="128" t="str">
        <f>IF($B253="","",IF($B253+1&gt;'Qredits maandlasten'!$C$4,"",G254*I254*'Qredits maandlasten'!$C$8))</f>
        <v/>
      </c>
      <c r="L254" s="128" t="str">
        <f t="shared" si="17"/>
        <v/>
      </c>
      <c r="M254" s="128" t="str">
        <f t="shared" si="15"/>
        <v/>
      </c>
      <c r="N254" s="127"/>
      <c r="O254" s="129" t="str">
        <f>IF($B254="","",'Qredits maandlasten'!$C$8)</f>
        <v/>
      </c>
      <c r="P254" s="129" t="str">
        <f>IF($B254="","",'Qredits maandlasten'!$C$8*(POWER(1+'Qredits maandlasten'!$C$8,$B254-1+1)))</f>
        <v/>
      </c>
      <c r="Q254" s="129" t="str">
        <f t="shared" si="18"/>
        <v/>
      </c>
      <c r="R254" s="127"/>
      <c r="S254" s="128" t="str">
        <f t="shared" si="16"/>
        <v/>
      </c>
      <c r="T254" s="128" t="str">
        <f>IF(S254="","",J254/(POWER(1+'Qredits maandlasten'!$C$8,$B254-1+1)))</f>
        <v/>
      </c>
      <c r="U254" s="130" t="str">
        <f t="shared" si="19"/>
        <v/>
      </c>
      <c r="V254" s="128" t="str">
        <f>IF($B254="","",K254/(POWER(1+'Qredits maandlasten'!$C$8,$B254-1+1)))</f>
        <v/>
      </c>
      <c r="W254" s="127"/>
    </row>
    <row r="255" spans="1:23" s="132" customFormat="1" x14ac:dyDescent="0.2">
      <c r="A255" s="123"/>
      <c r="B255" s="124" t="str">
        <f>IF($B254="","",IF($B254+1&gt;'Qredits maandlasten'!$C$4,"",Schema!B254+1))</f>
        <v/>
      </c>
      <c r="C255" s="125" t="str">
        <f>IF($B254="","",IF($B254+1&gt;'Qredits maandlasten'!$C$4,"",EOMONTH(C254,0)+1))</f>
        <v/>
      </c>
      <c r="D255" s="123"/>
      <c r="E255" s="125" t="str">
        <f>IF($B254="","",IF($B254+1&gt;'Qredits maandlasten'!$C$4,"",F254+1))</f>
        <v/>
      </c>
      <c r="F255" s="125" t="str">
        <f>IF($B254="","",IF($B254+1&gt;'Qredits maandlasten'!$C$4,"",EOMONTH(E255,0)))</f>
        <v/>
      </c>
      <c r="G255" s="126" t="str">
        <f>IF($B254="","",IF($B254+1&gt;'Qredits maandlasten'!$C$4,"",(_xlfn.DAYS(F255,E255)+1)/DAY(F255)))</f>
        <v/>
      </c>
      <c r="H255" s="127"/>
      <c r="I255" s="128" t="str">
        <f>IF($B254="","",IF($B254+1&gt;'Qredits maandlasten'!$C$4,"",I254-J254))</f>
        <v/>
      </c>
      <c r="J255" s="128" t="str">
        <f>IF($B254="","",IF($B254+1&gt;'Qredits maandlasten'!$C$4,"",IF(B254&lt;'Qredits maandlasten'!$C$11-1,0,IF('Qredits maandlasten'!$C$10=dropdowns!$A$121,'Qredits maandlasten'!$J$3,IF('Qredits maandlasten'!$C$10=dropdowns!$A$120,IFERROR('Qredits maandlasten'!$J$3-K255,0),0)))))</f>
        <v/>
      </c>
      <c r="K255" s="128" t="str">
        <f>IF($B254="","",IF($B254+1&gt;'Qredits maandlasten'!$C$4,"",G255*I255*'Qredits maandlasten'!$C$8))</f>
        <v/>
      </c>
      <c r="L255" s="128" t="str">
        <f t="shared" si="17"/>
        <v/>
      </c>
      <c r="M255" s="128" t="str">
        <f t="shared" si="15"/>
        <v/>
      </c>
      <c r="N255" s="127"/>
      <c r="O255" s="129" t="str">
        <f>IF($B255="","",'Qredits maandlasten'!$C$8)</f>
        <v/>
      </c>
      <c r="P255" s="129" t="str">
        <f>IF($B255="","",'Qredits maandlasten'!$C$8*(POWER(1+'Qredits maandlasten'!$C$8,$B255-1+1)))</f>
        <v/>
      </c>
      <c r="Q255" s="129" t="str">
        <f t="shared" si="18"/>
        <v/>
      </c>
      <c r="R255" s="127"/>
      <c r="S255" s="128" t="str">
        <f t="shared" si="16"/>
        <v/>
      </c>
      <c r="T255" s="128" t="str">
        <f>IF(S255="","",J255/(POWER(1+'Qredits maandlasten'!$C$8,$B255-1+1)))</f>
        <v/>
      </c>
      <c r="U255" s="130" t="str">
        <f t="shared" si="19"/>
        <v/>
      </c>
      <c r="V255" s="128" t="str">
        <f>IF($B255="","",K255/(POWER(1+'Qredits maandlasten'!$C$8,$B255-1+1)))</f>
        <v/>
      </c>
      <c r="W255" s="127"/>
    </row>
    <row r="256" spans="1:23" s="132" customFormat="1" x14ac:dyDescent="0.2">
      <c r="A256" s="123"/>
      <c r="B256" s="124" t="str">
        <f>IF($B255="","",IF($B255+1&gt;'Qredits maandlasten'!$C$4,"",Schema!B255+1))</f>
        <v/>
      </c>
      <c r="C256" s="125" t="str">
        <f>IF($B255="","",IF($B255+1&gt;'Qredits maandlasten'!$C$4,"",EOMONTH(C255,0)+1))</f>
        <v/>
      </c>
      <c r="D256" s="123"/>
      <c r="E256" s="125" t="str">
        <f>IF($B255="","",IF($B255+1&gt;'Qredits maandlasten'!$C$4,"",F255+1))</f>
        <v/>
      </c>
      <c r="F256" s="125" t="str">
        <f>IF($B255="","",IF($B255+1&gt;'Qredits maandlasten'!$C$4,"",EOMONTH(E256,0)))</f>
        <v/>
      </c>
      <c r="G256" s="126" t="str">
        <f>IF($B255="","",IF($B255+1&gt;'Qredits maandlasten'!$C$4,"",(_xlfn.DAYS(F256,E256)+1)/DAY(F256)))</f>
        <v/>
      </c>
      <c r="H256" s="127"/>
      <c r="I256" s="128" t="str">
        <f>IF($B255="","",IF($B255+1&gt;'Qredits maandlasten'!$C$4,"",I255-J255))</f>
        <v/>
      </c>
      <c r="J256" s="128" t="str">
        <f>IF($B255="","",IF($B255+1&gt;'Qredits maandlasten'!$C$4,"",IF(B255&lt;'Qredits maandlasten'!$C$11-1,0,IF('Qredits maandlasten'!$C$10=dropdowns!$A$121,'Qredits maandlasten'!$J$3,IF('Qredits maandlasten'!$C$10=dropdowns!$A$120,IFERROR('Qredits maandlasten'!$J$3-K256,0),0)))))</f>
        <v/>
      </c>
      <c r="K256" s="128" t="str">
        <f>IF($B255="","",IF($B255+1&gt;'Qredits maandlasten'!$C$4,"",G256*I256*'Qredits maandlasten'!$C$8))</f>
        <v/>
      </c>
      <c r="L256" s="128" t="str">
        <f t="shared" si="17"/>
        <v/>
      </c>
      <c r="M256" s="128" t="str">
        <f t="shared" si="15"/>
        <v/>
      </c>
      <c r="N256" s="127"/>
      <c r="O256" s="129" t="str">
        <f>IF($B256="","",'Qredits maandlasten'!$C$8)</f>
        <v/>
      </c>
      <c r="P256" s="129" t="str">
        <f>IF($B256="","",'Qredits maandlasten'!$C$8*(POWER(1+'Qredits maandlasten'!$C$8,$B256-1+1)))</f>
        <v/>
      </c>
      <c r="Q256" s="129" t="str">
        <f t="shared" si="18"/>
        <v/>
      </c>
      <c r="R256" s="127"/>
      <c r="S256" s="128" t="str">
        <f t="shared" si="16"/>
        <v/>
      </c>
      <c r="T256" s="128" t="str">
        <f>IF(S256="","",J256/(POWER(1+'Qredits maandlasten'!$C$8,$B256-1+1)))</f>
        <v/>
      </c>
      <c r="U256" s="130" t="str">
        <f t="shared" si="19"/>
        <v/>
      </c>
      <c r="V256" s="128" t="str">
        <f>IF($B256="","",K256/(POWER(1+'Qredits maandlasten'!$C$8,$B256-1+1)))</f>
        <v/>
      </c>
      <c r="W256" s="127"/>
    </row>
    <row r="257" spans="1:23" s="132" customFormat="1" x14ac:dyDescent="0.2">
      <c r="A257" s="123"/>
      <c r="B257" s="124" t="str">
        <f>IF($B256="","",IF($B256+1&gt;'Qredits maandlasten'!$C$4,"",Schema!B256+1))</f>
        <v/>
      </c>
      <c r="C257" s="125" t="str">
        <f>IF($B256="","",IF($B256+1&gt;'Qredits maandlasten'!$C$4,"",EOMONTH(C256,0)+1))</f>
        <v/>
      </c>
      <c r="D257" s="123"/>
      <c r="E257" s="125" t="str">
        <f>IF($B256="","",IF($B256+1&gt;'Qredits maandlasten'!$C$4,"",F256+1))</f>
        <v/>
      </c>
      <c r="F257" s="125" t="str">
        <f>IF($B256="","",IF($B256+1&gt;'Qredits maandlasten'!$C$4,"",EOMONTH(E257,0)))</f>
        <v/>
      </c>
      <c r="G257" s="126" t="str">
        <f>IF($B256="","",IF($B256+1&gt;'Qredits maandlasten'!$C$4,"",(_xlfn.DAYS(F257,E257)+1)/DAY(F257)))</f>
        <v/>
      </c>
      <c r="H257" s="127"/>
      <c r="I257" s="128" t="str">
        <f>IF($B256="","",IF($B256+1&gt;'Qredits maandlasten'!$C$4,"",I256-J256))</f>
        <v/>
      </c>
      <c r="J257" s="128" t="str">
        <f>IF($B256="","",IF($B256+1&gt;'Qredits maandlasten'!$C$4,"",IF(B256&lt;'Qredits maandlasten'!$C$11-1,0,IF('Qredits maandlasten'!$C$10=dropdowns!$A$121,'Qredits maandlasten'!$J$3,IF('Qredits maandlasten'!$C$10=dropdowns!$A$120,IFERROR('Qredits maandlasten'!$J$3-K257,0),0)))))</f>
        <v/>
      </c>
      <c r="K257" s="128" t="str">
        <f>IF($B256="","",IF($B256+1&gt;'Qredits maandlasten'!$C$4,"",G257*I257*'Qredits maandlasten'!$C$8))</f>
        <v/>
      </c>
      <c r="L257" s="128" t="str">
        <f t="shared" si="17"/>
        <v/>
      </c>
      <c r="M257" s="128" t="str">
        <f t="shared" si="15"/>
        <v/>
      </c>
      <c r="N257" s="127"/>
      <c r="O257" s="129" t="str">
        <f>IF($B257="","",'Qredits maandlasten'!$C$8)</f>
        <v/>
      </c>
      <c r="P257" s="129" t="str">
        <f>IF($B257="","",'Qredits maandlasten'!$C$8*(POWER(1+'Qredits maandlasten'!$C$8,$B257-1+1)))</f>
        <v/>
      </c>
      <c r="Q257" s="129" t="str">
        <f t="shared" si="18"/>
        <v/>
      </c>
      <c r="R257" s="127"/>
      <c r="S257" s="128" t="str">
        <f t="shared" si="16"/>
        <v/>
      </c>
      <c r="T257" s="128" t="str">
        <f>IF(S257="","",J257/(POWER(1+'Qredits maandlasten'!$C$8,$B257-1+1)))</f>
        <v/>
      </c>
      <c r="U257" s="130" t="str">
        <f t="shared" si="19"/>
        <v/>
      </c>
      <c r="V257" s="128" t="str">
        <f>IF($B257="","",K257/(POWER(1+'Qredits maandlasten'!$C$8,$B257-1+1)))</f>
        <v/>
      </c>
      <c r="W257" s="127"/>
    </row>
    <row r="258" spans="1:23" s="132" customFormat="1" x14ac:dyDescent="0.2">
      <c r="A258" s="123"/>
      <c r="B258" s="124" t="str">
        <f>IF($B257="","",IF($B257+1&gt;'Qredits maandlasten'!$C$4,"",Schema!B257+1))</f>
        <v/>
      </c>
      <c r="C258" s="125" t="str">
        <f>IF($B257="","",IF($B257+1&gt;'Qredits maandlasten'!$C$4,"",EOMONTH(C257,0)+1))</f>
        <v/>
      </c>
      <c r="D258" s="123"/>
      <c r="E258" s="125" t="str">
        <f>IF($B257="","",IF($B257+1&gt;'Qredits maandlasten'!$C$4,"",F257+1))</f>
        <v/>
      </c>
      <c r="F258" s="125" t="str">
        <f>IF($B257="","",IF($B257+1&gt;'Qredits maandlasten'!$C$4,"",EOMONTH(E258,0)))</f>
        <v/>
      </c>
      <c r="G258" s="126" t="str">
        <f>IF($B257="","",IF($B257+1&gt;'Qredits maandlasten'!$C$4,"",(_xlfn.DAYS(F258,E258)+1)/DAY(F258)))</f>
        <v/>
      </c>
      <c r="H258" s="127"/>
      <c r="I258" s="128" t="str">
        <f>IF($B257="","",IF($B257+1&gt;'Qredits maandlasten'!$C$4,"",I257-J257))</f>
        <v/>
      </c>
      <c r="J258" s="128" t="str">
        <f>IF($B257="","",IF($B257+1&gt;'Qredits maandlasten'!$C$4,"",IF(B257&lt;'Qredits maandlasten'!$C$11-1,0,IF('Qredits maandlasten'!$C$10=dropdowns!$A$121,'Qredits maandlasten'!$J$3,IF('Qredits maandlasten'!$C$10=dropdowns!$A$120,IFERROR('Qredits maandlasten'!$J$3-K258,0),0)))))</f>
        <v/>
      </c>
      <c r="K258" s="128" t="str">
        <f>IF($B257="","",IF($B257+1&gt;'Qredits maandlasten'!$C$4,"",G258*I258*'Qredits maandlasten'!$C$8))</f>
        <v/>
      </c>
      <c r="L258" s="128" t="str">
        <f t="shared" si="17"/>
        <v/>
      </c>
      <c r="M258" s="128" t="str">
        <f t="shared" si="15"/>
        <v/>
      </c>
      <c r="N258" s="127"/>
      <c r="O258" s="129" t="str">
        <f>IF($B258="","",'Qredits maandlasten'!$C$8)</f>
        <v/>
      </c>
      <c r="P258" s="129" t="str">
        <f>IF($B258="","",'Qredits maandlasten'!$C$8*(POWER(1+'Qredits maandlasten'!$C$8,$B258-1+1)))</f>
        <v/>
      </c>
      <c r="Q258" s="129" t="str">
        <f t="shared" si="18"/>
        <v/>
      </c>
      <c r="R258" s="127"/>
      <c r="S258" s="128" t="str">
        <f t="shared" si="16"/>
        <v/>
      </c>
      <c r="T258" s="128" t="str">
        <f>IF(S258="","",J258/(POWER(1+'Qredits maandlasten'!$C$8,$B258-1+1)))</f>
        <v/>
      </c>
      <c r="U258" s="130" t="str">
        <f t="shared" si="19"/>
        <v/>
      </c>
      <c r="V258" s="128" t="str">
        <f>IF($B258="","",K258/(POWER(1+'Qredits maandlasten'!$C$8,$B258-1+1)))</f>
        <v/>
      </c>
      <c r="W258" s="127"/>
    </row>
    <row r="259" spans="1:23" s="132" customFormat="1" x14ac:dyDescent="0.2">
      <c r="A259" s="123"/>
      <c r="B259" s="124" t="str">
        <f>IF($B258="","",IF($B258+1&gt;'Qredits maandlasten'!$C$4,"",Schema!B258+1))</f>
        <v/>
      </c>
      <c r="C259" s="125" t="str">
        <f>IF($B258="","",IF($B258+1&gt;'Qredits maandlasten'!$C$4,"",EOMONTH(C258,0)+1))</f>
        <v/>
      </c>
      <c r="D259" s="123"/>
      <c r="E259" s="125" t="str">
        <f>IF($B258="","",IF($B258+1&gt;'Qredits maandlasten'!$C$4,"",F258+1))</f>
        <v/>
      </c>
      <c r="F259" s="125" t="str">
        <f>IF($B258="","",IF($B258+1&gt;'Qredits maandlasten'!$C$4,"",EOMONTH(E259,0)))</f>
        <v/>
      </c>
      <c r="G259" s="126" t="str">
        <f>IF($B258="","",IF($B258+1&gt;'Qredits maandlasten'!$C$4,"",(_xlfn.DAYS(F259,E259)+1)/DAY(F259)))</f>
        <v/>
      </c>
      <c r="H259" s="127"/>
      <c r="I259" s="128" t="str">
        <f>IF($B258="","",IF($B258+1&gt;'Qredits maandlasten'!$C$4,"",I258-J258))</f>
        <v/>
      </c>
      <c r="J259" s="128" t="str">
        <f>IF($B258="","",IF($B258+1&gt;'Qredits maandlasten'!$C$4,"",IF(B258&lt;'Qredits maandlasten'!$C$11-1,0,IF('Qredits maandlasten'!$C$10=dropdowns!$A$121,'Qredits maandlasten'!$J$3,IF('Qredits maandlasten'!$C$10=dropdowns!$A$120,IFERROR('Qredits maandlasten'!$J$3-K259,0),0)))))</f>
        <v/>
      </c>
      <c r="K259" s="128" t="str">
        <f>IF($B258="","",IF($B258+1&gt;'Qredits maandlasten'!$C$4,"",G259*I259*'Qredits maandlasten'!$C$8))</f>
        <v/>
      </c>
      <c r="L259" s="128" t="str">
        <f t="shared" si="17"/>
        <v/>
      </c>
      <c r="M259" s="128" t="str">
        <f t="shared" si="15"/>
        <v/>
      </c>
      <c r="N259" s="127"/>
      <c r="O259" s="129" t="str">
        <f>IF($B259="","",'Qredits maandlasten'!$C$8)</f>
        <v/>
      </c>
      <c r="P259" s="129" t="str">
        <f>IF($B259="","",'Qredits maandlasten'!$C$8*(POWER(1+'Qredits maandlasten'!$C$8,$B259-1+1)))</f>
        <v/>
      </c>
      <c r="Q259" s="129" t="str">
        <f t="shared" si="18"/>
        <v/>
      </c>
      <c r="R259" s="127"/>
      <c r="S259" s="128" t="str">
        <f t="shared" si="16"/>
        <v/>
      </c>
      <c r="T259" s="128" t="str">
        <f>IF(S259="","",J259/(POWER(1+'Qredits maandlasten'!$C$8,$B259-1+1)))</f>
        <v/>
      </c>
      <c r="U259" s="130" t="str">
        <f t="shared" si="19"/>
        <v/>
      </c>
      <c r="V259" s="128" t="str">
        <f>IF($B259="","",K259/(POWER(1+'Qredits maandlasten'!$C$8,$B259-1+1)))</f>
        <v/>
      </c>
      <c r="W259" s="127"/>
    </row>
    <row r="260" spans="1:23" s="132" customFormat="1" x14ac:dyDescent="0.2">
      <c r="A260" s="123"/>
      <c r="B260" s="124" t="str">
        <f>IF($B259="","",IF($B259+1&gt;'Qredits maandlasten'!$C$4,"",Schema!B259+1))</f>
        <v/>
      </c>
      <c r="C260" s="125" t="str">
        <f>IF($B259="","",IF($B259+1&gt;'Qredits maandlasten'!$C$4,"",EOMONTH(C259,0)+1))</f>
        <v/>
      </c>
      <c r="D260" s="123"/>
      <c r="E260" s="125" t="str">
        <f>IF($B259="","",IF($B259+1&gt;'Qredits maandlasten'!$C$4,"",F259+1))</f>
        <v/>
      </c>
      <c r="F260" s="125" t="str">
        <f>IF($B259="","",IF($B259+1&gt;'Qredits maandlasten'!$C$4,"",EOMONTH(E260,0)))</f>
        <v/>
      </c>
      <c r="G260" s="126" t="str">
        <f>IF($B259="","",IF($B259+1&gt;'Qredits maandlasten'!$C$4,"",(_xlfn.DAYS(F260,E260)+1)/DAY(F260)))</f>
        <v/>
      </c>
      <c r="H260" s="127"/>
      <c r="I260" s="128" t="str">
        <f>IF($B259="","",IF($B259+1&gt;'Qredits maandlasten'!$C$4,"",I259-J259))</f>
        <v/>
      </c>
      <c r="J260" s="128" t="str">
        <f>IF($B259="","",IF($B259+1&gt;'Qredits maandlasten'!$C$4,"",IF(B259&lt;'Qredits maandlasten'!$C$11-1,0,IF('Qredits maandlasten'!$C$10=dropdowns!$A$121,'Qredits maandlasten'!$J$3,IF('Qredits maandlasten'!$C$10=dropdowns!$A$120,IFERROR('Qredits maandlasten'!$J$3-K260,0),0)))))</f>
        <v/>
      </c>
      <c r="K260" s="128" t="str">
        <f>IF($B259="","",IF($B259+1&gt;'Qredits maandlasten'!$C$4,"",G260*I260*'Qredits maandlasten'!$C$8))</f>
        <v/>
      </c>
      <c r="L260" s="128" t="str">
        <f t="shared" si="17"/>
        <v/>
      </c>
      <c r="M260" s="128" t="str">
        <f t="shared" si="15"/>
        <v/>
      </c>
      <c r="N260" s="127"/>
      <c r="O260" s="129" t="str">
        <f>IF($B260="","",'Qredits maandlasten'!$C$8)</f>
        <v/>
      </c>
      <c r="P260" s="129" t="str">
        <f>IF($B260="","",'Qredits maandlasten'!$C$8*(POWER(1+'Qredits maandlasten'!$C$8,$B260-1+1)))</f>
        <v/>
      </c>
      <c r="Q260" s="129" t="str">
        <f t="shared" si="18"/>
        <v/>
      </c>
      <c r="R260" s="127"/>
      <c r="S260" s="128" t="str">
        <f t="shared" si="16"/>
        <v/>
      </c>
      <c r="T260" s="128" t="str">
        <f>IF(S260="","",J260/(POWER(1+'Qredits maandlasten'!$C$8,$B260-1+1)))</f>
        <v/>
      </c>
      <c r="U260" s="130" t="str">
        <f t="shared" si="19"/>
        <v/>
      </c>
      <c r="V260" s="128" t="str">
        <f>IF($B260="","",K260/(POWER(1+'Qredits maandlasten'!$C$8,$B260-1+1)))</f>
        <v/>
      </c>
      <c r="W260" s="127"/>
    </row>
    <row r="261" spans="1:23" s="132" customFormat="1" x14ac:dyDescent="0.2">
      <c r="A261" s="123"/>
      <c r="B261" s="124" t="str">
        <f>IF($B260="","",IF($B260+1&gt;'Qredits maandlasten'!$C$4,"",Schema!B260+1))</f>
        <v/>
      </c>
      <c r="C261" s="125" t="str">
        <f>IF($B260="","",IF($B260+1&gt;'Qredits maandlasten'!$C$4,"",EOMONTH(C260,0)+1))</f>
        <v/>
      </c>
      <c r="D261" s="123"/>
      <c r="E261" s="125" t="str">
        <f>IF($B260="","",IF($B260+1&gt;'Qredits maandlasten'!$C$4,"",F260+1))</f>
        <v/>
      </c>
      <c r="F261" s="125" t="str">
        <f>IF($B260="","",IF($B260+1&gt;'Qredits maandlasten'!$C$4,"",EOMONTH(E261,0)))</f>
        <v/>
      </c>
      <c r="G261" s="126" t="str">
        <f>IF($B260="","",IF($B260+1&gt;'Qredits maandlasten'!$C$4,"",(_xlfn.DAYS(F261,E261)+1)/DAY(F261)))</f>
        <v/>
      </c>
      <c r="H261" s="127"/>
      <c r="I261" s="128" t="str">
        <f>IF($B260="","",IF($B260+1&gt;'Qredits maandlasten'!$C$4,"",I260-J260))</f>
        <v/>
      </c>
      <c r="J261" s="128" t="str">
        <f>IF($B260="","",IF($B260+1&gt;'Qredits maandlasten'!$C$4,"",IF(B260&lt;'Qredits maandlasten'!$C$11-1,0,IF('Qredits maandlasten'!$C$10=dropdowns!$A$121,'Qredits maandlasten'!$J$3,IF('Qredits maandlasten'!$C$10=dropdowns!$A$120,IFERROR('Qredits maandlasten'!$J$3-K261,0),0)))))</f>
        <v/>
      </c>
      <c r="K261" s="128" t="str">
        <f>IF($B260="","",IF($B260+1&gt;'Qredits maandlasten'!$C$4,"",G261*I261*'Qredits maandlasten'!$C$8))</f>
        <v/>
      </c>
      <c r="L261" s="128" t="str">
        <f t="shared" si="17"/>
        <v/>
      </c>
      <c r="M261" s="128" t="str">
        <f t="shared" si="15"/>
        <v/>
      </c>
      <c r="N261" s="127"/>
      <c r="O261" s="129" t="str">
        <f>IF($B261="","",'Qredits maandlasten'!$C$8)</f>
        <v/>
      </c>
      <c r="P261" s="129" t="str">
        <f>IF($B261="","",'Qredits maandlasten'!$C$8*(POWER(1+'Qredits maandlasten'!$C$8,$B261-1+1)))</f>
        <v/>
      </c>
      <c r="Q261" s="129" t="str">
        <f t="shared" si="18"/>
        <v/>
      </c>
      <c r="R261" s="127"/>
      <c r="S261" s="128" t="str">
        <f t="shared" si="16"/>
        <v/>
      </c>
      <c r="T261" s="128" t="str">
        <f>IF(S261="","",J261/(POWER(1+'Qredits maandlasten'!$C$8,$B261-1+1)))</f>
        <v/>
      </c>
      <c r="U261" s="130" t="str">
        <f t="shared" si="19"/>
        <v/>
      </c>
      <c r="V261" s="128" t="str">
        <f>IF($B261="","",K261/(POWER(1+'Qredits maandlasten'!$C$8,$B261-1+1)))</f>
        <v/>
      </c>
      <c r="W261" s="127"/>
    </row>
    <row r="262" spans="1:23" s="132" customFormat="1" x14ac:dyDescent="0.2">
      <c r="A262" s="123"/>
      <c r="B262" s="124" t="str">
        <f>IF($B261="","",IF($B261+1&gt;'Qredits maandlasten'!$C$4,"",Schema!B261+1))</f>
        <v/>
      </c>
      <c r="C262" s="125" t="str">
        <f>IF($B261="","",IF($B261+1&gt;'Qredits maandlasten'!$C$4,"",EOMONTH(C261,0)+1))</f>
        <v/>
      </c>
      <c r="D262" s="123"/>
      <c r="E262" s="125" t="str">
        <f>IF($B261="","",IF($B261+1&gt;'Qredits maandlasten'!$C$4,"",F261+1))</f>
        <v/>
      </c>
      <c r="F262" s="125" t="str">
        <f>IF($B261="","",IF($B261+1&gt;'Qredits maandlasten'!$C$4,"",EOMONTH(E262,0)))</f>
        <v/>
      </c>
      <c r="G262" s="126" t="str">
        <f>IF($B261="","",IF($B261+1&gt;'Qredits maandlasten'!$C$4,"",(_xlfn.DAYS(F262,E262)+1)/DAY(F262)))</f>
        <v/>
      </c>
      <c r="H262" s="127"/>
      <c r="I262" s="128" t="str">
        <f>IF($B261="","",IF($B261+1&gt;'Qredits maandlasten'!$C$4,"",I261-J261))</f>
        <v/>
      </c>
      <c r="J262" s="128" t="str">
        <f>IF($B261="","",IF($B261+1&gt;'Qredits maandlasten'!$C$4,"",IF(B261&lt;'Qredits maandlasten'!$C$11-1,0,IF('Qredits maandlasten'!$C$10=dropdowns!$A$121,'Qredits maandlasten'!$J$3,IF('Qredits maandlasten'!$C$10=dropdowns!$A$120,IFERROR('Qredits maandlasten'!$J$3-K262,0),0)))))</f>
        <v/>
      </c>
      <c r="K262" s="128" t="str">
        <f>IF($B261="","",IF($B261+1&gt;'Qredits maandlasten'!$C$4,"",G262*I262*'Qredits maandlasten'!$C$8))</f>
        <v/>
      </c>
      <c r="L262" s="128" t="str">
        <f t="shared" si="17"/>
        <v/>
      </c>
      <c r="M262" s="128" t="str">
        <f t="shared" si="15"/>
        <v/>
      </c>
      <c r="N262" s="127"/>
      <c r="O262" s="129" t="str">
        <f>IF($B262="","",'Qredits maandlasten'!$C$8)</f>
        <v/>
      </c>
      <c r="P262" s="129" t="str">
        <f>IF($B262="","",'Qredits maandlasten'!$C$8*(POWER(1+'Qredits maandlasten'!$C$8,$B262-1+1)))</f>
        <v/>
      </c>
      <c r="Q262" s="129" t="str">
        <f t="shared" si="18"/>
        <v/>
      </c>
      <c r="R262" s="127"/>
      <c r="S262" s="128" t="str">
        <f t="shared" si="16"/>
        <v/>
      </c>
      <c r="T262" s="128" t="str">
        <f>IF(S262="","",J262/(POWER(1+'Qredits maandlasten'!$C$8,$B262-1+1)))</f>
        <v/>
      </c>
      <c r="U262" s="130" t="str">
        <f t="shared" si="19"/>
        <v/>
      </c>
      <c r="V262" s="128" t="str">
        <f>IF($B262="","",K262/(POWER(1+'Qredits maandlasten'!$C$8,$B262-1+1)))</f>
        <v/>
      </c>
      <c r="W262" s="127"/>
    </row>
    <row r="263" spans="1:23" s="132" customFormat="1" x14ac:dyDescent="0.2">
      <c r="A263" s="123"/>
      <c r="B263" s="124" t="str">
        <f>IF($B262="","",IF($B262+1&gt;'Qredits maandlasten'!$C$4,"",Schema!B262+1))</f>
        <v/>
      </c>
      <c r="C263" s="125" t="str">
        <f>IF($B262="","",IF($B262+1&gt;'Qredits maandlasten'!$C$4,"",EOMONTH(C262,0)+1))</f>
        <v/>
      </c>
      <c r="D263" s="123"/>
      <c r="E263" s="125" t="str">
        <f>IF($B262="","",IF($B262+1&gt;'Qredits maandlasten'!$C$4,"",F262+1))</f>
        <v/>
      </c>
      <c r="F263" s="125" t="str">
        <f>IF($B262="","",IF($B262+1&gt;'Qredits maandlasten'!$C$4,"",EOMONTH(E263,0)))</f>
        <v/>
      </c>
      <c r="G263" s="126" t="str">
        <f>IF($B262="","",IF($B262+1&gt;'Qredits maandlasten'!$C$4,"",(_xlfn.DAYS(F263,E263)+1)/DAY(F263)))</f>
        <v/>
      </c>
      <c r="H263" s="127"/>
      <c r="I263" s="128" t="str">
        <f>IF($B262="","",IF($B262+1&gt;'Qredits maandlasten'!$C$4,"",I262-J262))</f>
        <v/>
      </c>
      <c r="J263" s="128" t="str">
        <f>IF($B262="","",IF($B262+1&gt;'Qredits maandlasten'!$C$4,"",IF(B262&lt;'Qredits maandlasten'!$C$11-1,0,IF('Qredits maandlasten'!$C$10=dropdowns!$A$121,'Qredits maandlasten'!$J$3,IF('Qredits maandlasten'!$C$10=dropdowns!$A$120,IFERROR('Qredits maandlasten'!$J$3-K263,0),0)))))</f>
        <v/>
      </c>
      <c r="K263" s="128" t="str">
        <f>IF($B262="","",IF($B262+1&gt;'Qredits maandlasten'!$C$4,"",G263*I263*'Qredits maandlasten'!$C$8))</f>
        <v/>
      </c>
      <c r="L263" s="128" t="str">
        <f t="shared" si="17"/>
        <v/>
      </c>
      <c r="M263" s="128" t="str">
        <f t="shared" si="15"/>
        <v/>
      </c>
      <c r="N263" s="127"/>
      <c r="O263" s="129" t="str">
        <f>IF($B263="","",'Qredits maandlasten'!$C$8)</f>
        <v/>
      </c>
      <c r="P263" s="129" t="str">
        <f>IF($B263="","",'Qredits maandlasten'!$C$8*(POWER(1+'Qredits maandlasten'!$C$8,$B263-1+1)))</f>
        <v/>
      </c>
      <c r="Q263" s="129" t="str">
        <f t="shared" si="18"/>
        <v/>
      </c>
      <c r="R263" s="127"/>
      <c r="S263" s="128" t="str">
        <f t="shared" si="16"/>
        <v/>
      </c>
      <c r="T263" s="128" t="str">
        <f>IF(S263="","",J263/(POWER(1+'Qredits maandlasten'!$C$8,$B263-1+1)))</f>
        <v/>
      </c>
      <c r="U263" s="130" t="str">
        <f t="shared" si="19"/>
        <v/>
      </c>
      <c r="V263" s="128" t="str">
        <f>IF($B263="","",K263/(POWER(1+'Qredits maandlasten'!$C$8,$B263-1+1)))</f>
        <v/>
      </c>
      <c r="W263" s="127"/>
    </row>
    <row r="264" spans="1:23" s="132" customFormat="1" x14ac:dyDescent="0.2">
      <c r="A264" s="123"/>
      <c r="B264" s="124" t="str">
        <f>IF($B263="","",IF($B263+1&gt;'Qredits maandlasten'!$C$4,"",Schema!B263+1))</f>
        <v/>
      </c>
      <c r="C264" s="125" t="str">
        <f>IF($B263="","",IF($B263+1&gt;'Qredits maandlasten'!$C$4,"",EOMONTH(C263,0)+1))</f>
        <v/>
      </c>
      <c r="D264" s="123"/>
      <c r="E264" s="125" t="str">
        <f>IF($B263="","",IF($B263+1&gt;'Qredits maandlasten'!$C$4,"",F263+1))</f>
        <v/>
      </c>
      <c r="F264" s="125" t="str">
        <f>IF($B263="","",IF($B263+1&gt;'Qredits maandlasten'!$C$4,"",EOMONTH(E264,0)))</f>
        <v/>
      </c>
      <c r="G264" s="126" t="str">
        <f>IF($B263="","",IF($B263+1&gt;'Qredits maandlasten'!$C$4,"",(_xlfn.DAYS(F264,E264)+1)/DAY(F264)))</f>
        <v/>
      </c>
      <c r="H264" s="127"/>
      <c r="I264" s="128" t="str">
        <f>IF($B263="","",IF($B263+1&gt;'Qredits maandlasten'!$C$4,"",I263-J263))</f>
        <v/>
      </c>
      <c r="J264" s="128" t="str">
        <f>IF($B263="","",IF($B263+1&gt;'Qredits maandlasten'!$C$4,"",IF(B263&lt;'Qredits maandlasten'!$C$11-1,0,IF('Qredits maandlasten'!$C$10=dropdowns!$A$121,'Qredits maandlasten'!$J$3,IF('Qredits maandlasten'!$C$10=dropdowns!$A$120,IFERROR('Qredits maandlasten'!$J$3-K264,0),0)))))</f>
        <v/>
      </c>
      <c r="K264" s="128" t="str">
        <f>IF($B263="","",IF($B263+1&gt;'Qredits maandlasten'!$C$4,"",G264*I264*'Qredits maandlasten'!$C$8))</f>
        <v/>
      </c>
      <c r="L264" s="128" t="str">
        <f t="shared" si="17"/>
        <v/>
      </c>
      <c r="M264" s="128" t="str">
        <f t="shared" si="15"/>
        <v/>
      </c>
      <c r="N264" s="127"/>
      <c r="O264" s="129" t="str">
        <f>IF($B264="","",'Qredits maandlasten'!$C$8)</f>
        <v/>
      </c>
      <c r="P264" s="129" t="str">
        <f>IF($B264="","",'Qredits maandlasten'!$C$8*(POWER(1+'Qredits maandlasten'!$C$8,$B264-1+1)))</f>
        <v/>
      </c>
      <c r="Q264" s="129" t="str">
        <f t="shared" si="18"/>
        <v/>
      </c>
      <c r="R264" s="127"/>
      <c r="S264" s="128" t="str">
        <f t="shared" si="16"/>
        <v/>
      </c>
      <c r="T264" s="128" t="str">
        <f>IF(S264="","",J264/(POWER(1+'Qredits maandlasten'!$C$8,$B264-1+1)))</f>
        <v/>
      </c>
      <c r="U264" s="130" t="str">
        <f t="shared" si="19"/>
        <v/>
      </c>
      <c r="V264" s="128" t="str">
        <f>IF($B264="","",K264/(POWER(1+'Qredits maandlasten'!$C$8,$B264-1+1)))</f>
        <v/>
      </c>
      <c r="W264" s="127"/>
    </row>
    <row r="265" spans="1:23" s="132" customFormat="1" x14ac:dyDescent="0.2">
      <c r="A265" s="123"/>
      <c r="B265" s="124" t="str">
        <f>IF($B264="","",IF($B264+1&gt;'Qredits maandlasten'!$C$4,"",Schema!B264+1))</f>
        <v/>
      </c>
      <c r="C265" s="125" t="str">
        <f>IF($B264="","",IF($B264+1&gt;'Qredits maandlasten'!$C$4,"",EOMONTH(C264,0)+1))</f>
        <v/>
      </c>
      <c r="D265" s="123"/>
      <c r="E265" s="125" t="str">
        <f>IF($B264="","",IF($B264+1&gt;'Qredits maandlasten'!$C$4,"",F264+1))</f>
        <v/>
      </c>
      <c r="F265" s="125" t="str">
        <f>IF($B264="","",IF($B264+1&gt;'Qredits maandlasten'!$C$4,"",EOMONTH(E265,0)))</f>
        <v/>
      </c>
      <c r="G265" s="126" t="str">
        <f>IF($B264="","",IF($B264+1&gt;'Qredits maandlasten'!$C$4,"",(_xlfn.DAYS(F265,E265)+1)/DAY(F265)))</f>
        <v/>
      </c>
      <c r="H265" s="127"/>
      <c r="I265" s="128" t="str">
        <f>IF($B264="","",IF($B264+1&gt;'Qredits maandlasten'!$C$4,"",I264-J264))</f>
        <v/>
      </c>
      <c r="J265" s="128" t="str">
        <f>IF($B264="","",IF($B264+1&gt;'Qredits maandlasten'!$C$4,"",IF(B264&lt;'Qredits maandlasten'!$C$11-1,0,IF('Qredits maandlasten'!$C$10=dropdowns!$A$121,'Qredits maandlasten'!$J$3,IF('Qredits maandlasten'!$C$10=dropdowns!$A$120,IFERROR('Qredits maandlasten'!$J$3-K265,0),0)))))</f>
        <v/>
      </c>
      <c r="K265" s="128" t="str">
        <f>IF($B264="","",IF($B264+1&gt;'Qredits maandlasten'!$C$4,"",G265*I265*'Qredits maandlasten'!$C$8))</f>
        <v/>
      </c>
      <c r="L265" s="128" t="str">
        <f t="shared" si="17"/>
        <v/>
      </c>
      <c r="M265" s="128" t="str">
        <f t="shared" si="15"/>
        <v/>
      </c>
      <c r="N265" s="127"/>
      <c r="O265" s="129" t="str">
        <f>IF($B265="","",'Qredits maandlasten'!$C$8)</f>
        <v/>
      </c>
      <c r="P265" s="129" t="str">
        <f>IF($B265="","",'Qredits maandlasten'!$C$8*(POWER(1+'Qredits maandlasten'!$C$8,$B265-1+1)))</f>
        <v/>
      </c>
      <c r="Q265" s="129" t="str">
        <f t="shared" si="18"/>
        <v/>
      </c>
      <c r="R265" s="127"/>
      <c r="S265" s="128" t="str">
        <f t="shared" si="16"/>
        <v/>
      </c>
      <c r="T265" s="128" t="str">
        <f>IF(S265="","",J265/(POWER(1+'Qredits maandlasten'!$C$8,$B265-1+1)))</f>
        <v/>
      </c>
      <c r="U265" s="130" t="str">
        <f t="shared" si="19"/>
        <v/>
      </c>
      <c r="V265" s="128" t="str">
        <f>IF($B265="","",K265/(POWER(1+'Qredits maandlasten'!$C$8,$B265-1+1)))</f>
        <v/>
      </c>
      <c r="W265" s="127"/>
    </row>
    <row r="266" spans="1:23" s="132" customFormat="1" x14ac:dyDescent="0.2">
      <c r="A266" s="123"/>
      <c r="B266" s="124" t="str">
        <f>IF($B265="","",IF($B265+1&gt;'Qredits maandlasten'!$C$4,"",Schema!B265+1))</f>
        <v/>
      </c>
      <c r="C266" s="125" t="str">
        <f>IF($B265="","",IF($B265+1&gt;'Qredits maandlasten'!$C$4,"",EOMONTH(C265,0)+1))</f>
        <v/>
      </c>
      <c r="D266" s="123"/>
      <c r="E266" s="125" t="str">
        <f>IF($B265="","",IF($B265+1&gt;'Qredits maandlasten'!$C$4,"",F265+1))</f>
        <v/>
      </c>
      <c r="F266" s="125" t="str">
        <f>IF($B265="","",IF($B265+1&gt;'Qredits maandlasten'!$C$4,"",EOMONTH(E266,0)))</f>
        <v/>
      </c>
      <c r="G266" s="126" t="str">
        <f>IF($B265="","",IF($B265+1&gt;'Qredits maandlasten'!$C$4,"",(_xlfn.DAYS(F266,E266)+1)/DAY(F266)))</f>
        <v/>
      </c>
      <c r="H266" s="127"/>
      <c r="I266" s="128" t="str">
        <f>IF($B265="","",IF($B265+1&gt;'Qredits maandlasten'!$C$4,"",I265-J265))</f>
        <v/>
      </c>
      <c r="J266" s="128" t="str">
        <f>IF($B265="","",IF($B265+1&gt;'Qredits maandlasten'!$C$4,"",IF(B265&lt;'Qredits maandlasten'!$C$11-1,0,IF('Qredits maandlasten'!$C$10=dropdowns!$A$121,'Qredits maandlasten'!$J$3,IF('Qredits maandlasten'!$C$10=dropdowns!$A$120,IFERROR('Qredits maandlasten'!$J$3-K266,0),0)))))</f>
        <v/>
      </c>
      <c r="K266" s="128" t="str">
        <f>IF($B265="","",IF($B265+1&gt;'Qredits maandlasten'!$C$4,"",G266*I266*'Qredits maandlasten'!$C$8))</f>
        <v/>
      </c>
      <c r="L266" s="128" t="str">
        <f t="shared" si="17"/>
        <v/>
      </c>
      <c r="M266" s="128" t="str">
        <f t="shared" ref="M266:M329" si="20">IF(S266="","",-K266-J266)</f>
        <v/>
      </c>
      <c r="N266" s="127"/>
      <c r="O266" s="129" t="str">
        <f>IF($B266="","",'Qredits maandlasten'!$C$8)</f>
        <v/>
      </c>
      <c r="P266" s="129" t="str">
        <f>IF($B266="","",'Qredits maandlasten'!$C$8*(POWER(1+'Qredits maandlasten'!$C$8,$B266-1+1)))</f>
        <v/>
      </c>
      <c r="Q266" s="129" t="str">
        <f t="shared" si="18"/>
        <v/>
      </c>
      <c r="R266" s="127"/>
      <c r="S266" s="128" t="str">
        <f t="shared" ref="S266:S329" si="21">IF(B266="","",IF(S265-T265&lt;0,"",S265-T265))</f>
        <v/>
      </c>
      <c r="T266" s="128" t="str">
        <f>IF(S266="","",J266/(POWER(1+'Qredits maandlasten'!$C$8,$B266-1+1)))</f>
        <v/>
      </c>
      <c r="U266" s="130" t="str">
        <f t="shared" si="19"/>
        <v/>
      </c>
      <c r="V266" s="128" t="str">
        <f>IF($B266="","",K266/(POWER(1+'Qredits maandlasten'!$C$8,$B266-1+1)))</f>
        <v/>
      </c>
      <c r="W266" s="127"/>
    </row>
    <row r="267" spans="1:23" s="132" customFormat="1" x14ac:dyDescent="0.2">
      <c r="A267" s="123"/>
      <c r="B267" s="124" t="str">
        <f>IF($B266="","",IF($B266+1&gt;'Qredits maandlasten'!$C$4,"",Schema!B266+1))</f>
        <v/>
      </c>
      <c r="C267" s="125" t="str">
        <f>IF($B266="","",IF($B266+1&gt;'Qredits maandlasten'!$C$4,"",EOMONTH(C266,0)+1))</f>
        <v/>
      </c>
      <c r="D267" s="123"/>
      <c r="E267" s="125" t="str">
        <f>IF($B266="","",IF($B266+1&gt;'Qredits maandlasten'!$C$4,"",F266+1))</f>
        <v/>
      </c>
      <c r="F267" s="125" t="str">
        <f>IF($B266="","",IF($B266+1&gt;'Qredits maandlasten'!$C$4,"",EOMONTH(E267,0)))</f>
        <v/>
      </c>
      <c r="G267" s="126" t="str">
        <f>IF($B266="","",IF($B266+1&gt;'Qredits maandlasten'!$C$4,"",(_xlfn.DAYS(F267,E267)+1)/DAY(F267)))</f>
        <v/>
      </c>
      <c r="H267" s="127"/>
      <c r="I267" s="128" t="str">
        <f>IF($B266="","",IF($B266+1&gt;'Qredits maandlasten'!$C$4,"",I266-J266))</f>
        <v/>
      </c>
      <c r="J267" s="128" t="str">
        <f>IF($B266="","",IF($B266+1&gt;'Qredits maandlasten'!$C$4,"",IF(B266&lt;'Qredits maandlasten'!$C$11-1,0,IF('Qredits maandlasten'!$C$10=dropdowns!$A$121,'Qredits maandlasten'!$J$3,IF('Qredits maandlasten'!$C$10=dropdowns!$A$120,IFERROR('Qredits maandlasten'!$J$3-K267,0),0)))))</f>
        <v/>
      </c>
      <c r="K267" s="128" t="str">
        <f>IF($B266="","",IF($B266+1&gt;'Qredits maandlasten'!$C$4,"",G267*I267*'Qredits maandlasten'!$C$8))</f>
        <v/>
      </c>
      <c r="L267" s="128" t="str">
        <f t="shared" ref="L267:L330" si="22">IF(S267="","",-K267-J267)</f>
        <v/>
      </c>
      <c r="M267" s="128" t="str">
        <f t="shared" si="20"/>
        <v/>
      </c>
      <c r="N267" s="127"/>
      <c r="O267" s="129" t="str">
        <f>IF($B267="","",'Qredits maandlasten'!$C$8)</f>
        <v/>
      </c>
      <c r="P267" s="129" t="str">
        <f>IF($B267="","",'Qredits maandlasten'!$C$8*(POWER(1+'Qredits maandlasten'!$C$8,$B267-1+1)))</f>
        <v/>
      </c>
      <c r="Q267" s="129" t="str">
        <f t="shared" ref="Q267:Q330" si="23">IF($B267="","",IFERROR(J267/T267-1,0))</f>
        <v/>
      </c>
      <c r="R267" s="127"/>
      <c r="S267" s="128" t="str">
        <f t="shared" si="21"/>
        <v/>
      </c>
      <c r="T267" s="128" t="str">
        <f>IF(S267="","",J267/(POWER(1+'Qredits maandlasten'!$C$8,$B267-1+1)))</f>
        <v/>
      </c>
      <c r="U267" s="130" t="str">
        <f t="shared" ref="U267:U330" si="24">IF(S267="","",T267+V267)</f>
        <v/>
      </c>
      <c r="V267" s="128" t="str">
        <f>IF($B267="","",K267/(POWER(1+'Qredits maandlasten'!$C$8,$B267-1+1)))</f>
        <v/>
      </c>
      <c r="W267" s="127"/>
    </row>
    <row r="268" spans="1:23" s="132" customFormat="1" x14ac:dyDescent="0.2">
      <c r="A268" s="123"/>
      <c r="B268" s="124" t="str">
        <f>IF($B267="","",IF($B267+1&gt;'Qredits maandlasten'!$C$4,"",Schema!B267+1))</f>
        <v/>
      </c>
      <c r="C268" s="125" t="str">
        <f>IF($B267="","",IF($B267+1&gt;'Qredits maandlasten'!$C$4,"",EOMONTH(C267,0)+1))</f>
        <v/>
      </c>
      <c r="D268" s="123"/>
      <c r="E268" s="125" t="str">
        <f>IF($B267="","",IF($B267+1&gt;'Qredits maandlasten'!$C$4,"",F267+1))</f>
        <v/>
      </c>
      <c r="F268" s="125" t="str">
        <f>IF($B267="","",IF($B267+1&gt;'Qredits maandlasten'!$C$4,"",EOMONTH(E268,0)))</f>
        <v/>
      </c>
      <c r="G268" s="126" t="str">
        <f>IF($B267="","",IF($B267+1&gt;'Qredits maandlasten'!$C$4,"",(_xlfn.DAYS(F268,E268)+1)/DAY(F268)))</f>
        <v/>
      </c>
      <c r="H268" s="127"/>
      <c r="I268" s="128" t="str">
        <f>IF($B267="","",IF($B267+1&gt;'Qredits maandlasten'!$C$4,"",I267-J267))</f>
        <v/>
      </c>
      <c r="J268" s="128" t="str">
        <f>IF($B267="","",IF($B267+1&gt;'Qredits maandlasten'!$C$4,"",IF(B267&lt;'Qredits maandlasten'!$C$11-1,0,IF('Qredits maandlasten'!$C$10=dropdowns!$A$121,'Qredits maandlasten'!$J$3,IF('Qredits maandlasten'!$C$10=dropdowns!$A$120,IFERROR('Qredits maandlasten'!$J$3-K268,0),0)))))</f>
        <v/>
      </c>
      <c r="K268" s="128" t="str">
        <f>IF($B267="","",IF($B267+1&gt;'Qredits maandlasten'!$C$4,"",G268*I268*'Qredits maandlasten'!$C$8))</f>
        <v/>
      </c>
      <c r="L268" s="128" t="str">
        <f t="shared" si="22"/>
        <v/>
      </c>
      <c r="M268" s="128" t="str">
        <f t="shared" si="20"/>
        <v/>
      </c>
      <c r="N268" s="127"/>
      <c r="O268" s="129" t="str">
        <f>IF($B268="","",'Qredits maandlasten'!$C$8)</f>
        <v/>
      </c>
      <c r="P268" s="129" t="str">
        <f>IF($B268="","",'Qredits maandlasten'!$C$8*(POWER(1+'Qredits maandlasten'!$C$8,$B268-1+1)))</f>
        <v/>
      </c>
      <c r="Q268" s="129" t="str">
        <f t="shared" si="23"/>
        <v/>
      </c>
      <c r="R268" s="127"/>
      <c r="S268" s="128" t="str">
        <f t="shared" si="21"/>
        <v/>
      </c>
      <c r="T268" s="128" t="str">
        <f>IF(S268="","",J268/(POWER(1+'Qredits maandlasten'!$C$8,$B268-1+1)))</f>
        <v/>
      </c>
      <c r="U268" s="130" t="str">
        <f t="shared" si="24"/>
        <v/>
      </c>
      <c r="V268" s="128" t="str">
        <f>IF($B268="","",K268/(POWER(1+'Qredits maandlasten'!$C$8,$B268-1+1)))</f>
        <v/>
      </c>
      <c r="W268" s="127"/>
    </row>
    <row r="269" spans="1:23" s="132" customFormat="1" x14ac:dyDescent="0.2">
      <c r="A269" s="123"/>
      <c r="B269" s="124" t="str">
        <f>IF($B268="","",IF($B268+1&gt;'Qredits maandlasten'!$C$4,"",Schema!B268+1))</f>
        <v/>
      </c>
      <c r="C269" s="125" t="str">
        <f>IF($B268="","",IF($B268+1&gt;'Qredits maandlasten'!$C$4,"",EOMONTH(C268,0)+1))</f>
        <v/>
      </c>
      <c r="D269" s="123"/>
      <c r="E269" s="125" t="str">
        <f>IF($B268="","",IF($B268+1&gt;'Qredits maandlasten'!$C$4,"",F268+1))</f>
        <v/>
      </c>
      <c r="F269" s="125" t="str">
        <f>IF($B268="","",IF($B268+1&gt;'Qredits maandlasten'!$C$4,"",EOMONTH(E269,0)))</f>
        <v/>
      </c>
      <c r="G269" s="126" t="str">
        <f>IF($B268="","",IF($B268+1&gt;'Qredits maandlasten'!$C$4,"",(_xlfn.DAYS(F269,E269)+1)/DAY(F269)))</f>
        <v/>
      </c>
      <c r="H269" s="127"/>
      <c r="I269" s="128" t="str">
        <f>IF($B268="","",IF($B268+1&gt;'Qredits maandlasten'!$C$4,"",I268-J268))</f>
        <v/>
      </c>
      <c r="J269" s="128" t="str">
        <f>IF($B268="","",IF($B268+1&gt;'Qredits maandlasten'!$C$4,"",IF(B268&lt;'Qredits maandlasten'!$C$11-1,0,IF('Qredits maandlasten'!$C$10=dropdowns!$A$121,'Qredits maandlasten'!$J$3,IF('Qredits maandlasten'!$C$10=dropdowns!$A$120,IFERROR('Qredits maandlasten'!$J$3-K269,0),0)))))</f>
        <v/>
      </c>
      <c r="K269" s="128" t="str">
        <f>IF($B268="","",IF($B268+1&gt;'Qredits maandlasten'!$C$4,"",G269*I269*'Qredits maandlasten'!$C$8))</f>
        <v/>
      </c>
      <c r="L269" s="128" t="str">
        <f t="shared" si="22"/>
        <v/>
      </c>
      <c r="M269" s="128" t="str">
        <f t="shared" si="20"/>
        <v/>
      </c>
      <c r="N269" s="127"/>
      <c r="O269" s="129" t="str">
        <f>IF($B269="","",'Qredits maandlasten'!$C$8)</f>
        <v/>
      </c>
      <c r="P269" s="129" t="str">
        <f>IF($B269="","",'Qredits maandlasten'!$C$8*(POWER(1+'Qredits maandlasten'!$C$8,$B269-1+1)))</f>
        <v/>
      </c>
      <c r="Q269" s="129" t="str">
        <f t="shared" si="23"/>
        <v/>
      </c>
      <c r="R269" s="127"/>
      <c r="S269" s="128" t="str">
        <f t="shared" si="21"/>
        <v/>
      </c>
      <c r="T269" s="128" t="str">
        <f>IF(S269="","",J269/(POWER(1+'Qredits maandlasten'!$C$8,$B269-1+1)))</f>
        <v/>
      </c>
      <c r="U269" s="130" t="str">
        <f t="shared" si="24"/>
        <v/>
      </c>
      <c r="V269" s="128" t="str">
        <f>IF($B269="","",K269/(POWER(1+'Qredits maandlasten'!$C$8,$B269-1+1)))</f>
        <v/>
      </c>
      <c r="W269" s="127"/>
    </row>
    <row r="270" spans="1:23" s="132" customFormat="1" x14ac:dyDescent="0.2">
      <c r="A270" s="123"/>
      <c r="B270" s="124" t="str">
        <f>IF($B269="","",IF($B269+1&gt;'Qredits maandlasten'!$C$4,"",Schema!B269+1))</f>
        <v/>
      </c>
      <c r="C270" s="125" t="str">
        <f>IF($B269="","",IF($B269+1&gt;'Qredits maandlasten'!$C$4,"",EOMONTH(C269,0)+1))</f>
        <v/>
      </c>
      <c r="D270" s="123"/>
      <c r="E270" s="125" t="str">
        <f>IF($B269="","",IF($B269+1&gt;'Qredits maandlasten'!$C$4,"",F269+1))</f>
        <v/>
      </c>
      <c r="F270" s="125" t="str">
        <f>IF($B269="","",IF($B269+1&gt;'Qredits maandlasten'!$C$4,"",EOMONTH(E270,0)))</f>
        <v/>
      </c>
      <c r="G270" s="126" t="str">
        <f>IF($B269="","",IF($B269+1&gt;'Qredits maandlasten'!$C$4,"",(_xlfn.DAYS(F270,E270)+1)/DAY(F270)))</f>
        <v/>
      </c>
      <c r="H270" s="127"/>
      <c r="I270" s="128" t="str">
        <f>IF($B269="","",IF($B269+1&gt;'Qredits maandlasten'!$C$4,"",I269-J269))</f>
        <v/>
      </c>
      <c r="J270" s="128" t="str">
        <f>IF($B269="","",IF($B269+1&gt;'Qredits maandlasten'!$C$4,"",IF(B269&lt;'Qredits maandlasten'!$C$11-1,0,IF('Qredits maandlasten'!$C$10=dropdowns!$A$121,'Qredits maandlasten'!$J$3,IF('Qredits maandlasten'!$C$10=dropdowns!$A$120,IFERROR('Qredits maandlasten'!$J$3-K270,0),0)))))</f>
        <v/>
      </c>
      <c r="K270" s="128" t="str">
        <f>IF($B269="","",IF($B269+1&gt;'Qredits maandlasten'!$C$4,"",G270*I270*'Qredits maandlasten'!$C$8))</f>
        <v/>
      </c>
      <c r="L270" s="128" t="str">
        <f t="shared" si="22"/>
        <v/>
      </c>
      <c r="M270" s="128" t="str">
        <f t="shared" si="20"/>
        <v/>
      </c>
      <c r="N270" s="127"/>
      <c r="O270" s="129" t="str">
        <f>IF($B270="","",'Qredits maandlasten'!$C$8)</f>
        <v/>
      </c>
      <c r="P270" s="129" t="str">
        <f>IF($B270="","",'Qredits maandlasten'!$C$8*(POWER(1+'Qredits maandlasten'!$C$8,$B270-1+1)))</f>
        <v/>
      </c>
      <c r="Q270" s="129" t="str">
        <f t="shared" si="23"/>
        <v/>
      </c>
      <c r="R270" s="127"/>
      <c r="S270" s="128" t="str">
        <f t="shared" si="21"/>
        <v/>
      </c>
      <c r="T270" s="128" t="str">
        <f>IF(S270="","",J270/(POWER(1+'Qredits maandlasten'!$C$8,$B270-1+1)))</f>
        <v/>
      </c>
      <c r="U270" s="130" t="str">
        <f t="shared" si="24"/>
        <v/>
      </c>
      <c r="V270" s="128" t="str">
        <f>IF($B270="","",K270/(POWER(1+'Qredits maandlasten'!$C$8,$B270-1+1)))</f>
        <v/>
      </c>
      <c r="W270" s="127"/>
    </row>
    <row r="271" spans="1:23" s="132" customFormat="1" x14ac:dyDescent="0.2">
      <c r="A271" s="123"/>
      <c r="B271" s="124" t="str">
        <f>IF($B270="","",IF($B270+1&gt;'Qredits maandlasten'!$C$4,"",Schema!B270+1))</f>
        <v/>
      </c>
      <c r="C271" s="125" t="str">
        <f>IF($B270="","",IF($B270+1&gt;'Qredits maandlasten'!$C$4,"",EOMONTH(C270,0)+1))</f>
        <v/>
      </c>
      <c r="D271" s="123"/>
      <c r="E271" s="125" t="str">
        <f>IF($B270="","",IF($B270+1&gt;'Qredits maandlasten'!$C$4,"",F270+1))</f>
        <v/>
      </c>
      <c r="F271" s="125" t="str">
        <f>IF($B270="","",IF($B270+1&gt;'Qredits maandlasten'!$C$4,"",EOMONTH(E271,0)))</f>
        <v/>
      </c>
      <c r="G271" s="126" t="str">
        <f>IF($B270="","",IF($B270+1&gt;'Qredits maandlasten'!$C$4,"",(_xlfn.DAYS(F271,E271)+1)/DAY(F271)))</f>
        <v/>
      </c>
      <c r="H271" s="127"/>
      <c r="I271" s="128" t="str">
        <f>IF($B270="","",IF($B270+1&gt;'Qredits maandlasten'!$C$4,"",I270-J270))</f>
        <v/>
      </c>
      <c r="J271" s="128" t="str">
        <f>IF($B270="","",IF($B270+1&gt;'Qredits maandlasten'!$C$4,"",IF(B270&lt;'Qredits maandlasten'!$C$11-1,0,IF('Qredits maandlasten'!$C$10=dropdowns!$A$121,'Qredits maandlasten'!$J$3,IF('Qredits maandlasten'!$C$10=dropdowns!$A$120,IFERROR('Qredits maandlasten'!$J$3-K271,0),0)))))</f>
        <v/>
      </c>
      <c r="K271" s="128" t="str">
        <f>IF($B270="","",IF($B270+1&gt;'Qredits maandlasten'!$C$4,"",G271*I271*'Qredits maandlasten'!$C$8))</f>
        <v/>
      </c>
      <c r="L271" s="128" t="str">
        <f t="shared" si="22"/>
        <v/>
      </c>
      <c r="M271" s="128" t="str">
        <f t="shared" si="20"/>
        <v/>
      </c>
      <c r="N271" s="127"/>
      <c r="O271" s="129" t="str">
        <f>IF($B271="","",'Qredits maandlasten'!$C$8)</f>
        <v/>
      </c>
      <c r="P271" s="129" t="str">
        <f>IF($B271="","",'Qredits maandlasten'!$C$8*(POWER(1+'Qredits maandlasten'!$C$8,$B271-1+1)))</f>
        <v/>
      </c>
      <c r="Q271" s="129" t="str">
        <f t="shared" si="23"/>
        <v/>
      </c>
      <c r="R271" s="127"/>
      <c r="S271" s="128" t="str">
        <f t="shared" si="21"/>
        <v/>
      </c>
      <c r="T271" s="128" t="str">
        <f>IF(S271="","",J271/(POWER(1+'Qredits maandlasten'!$C$8,$B271-1+1)))</f>
        <v/>
      </c>
      <c r="U271" s="130" t="str">
        <f t="shared" si="24"/>
        <v/>
      </c>
      <c r="V271" s="128" t="str">
        <f>IF($B271="","",K271/(POWER(1+'Qredits maandlasten'!$C$8,$B271-1+1)))</f>
        <v/>
      </c>
      <c r="W271" s="127"/>
    </row>
    <row r="272" spans="1:23" s="132" customFormat="1" x14ac:dyDescent="0.2">
      <c r="A272" s="123"/>
      <c r="B272" s="124" t="str">
        <f>IF($B271="","",IF($B271+1&gt;'Qredits maandlasten'!$C$4,"",Schema!B271+1))</f>
        <v/>
      </c>
      <c r="C272" s="125" t="str">
        <f>IF($B271="","",IF($B271+1&gt;'Qredits maandlasten'!$C$4,"",EOMONTH(C271,0)+1))</f>
        <v/>
      </c>
      <c r="D272" s="123"/>
      <c r="E272" s="125" t="str">
        <f>IF($B271="","",IF($B271+1&gt;'Qredits maandlasten'!$C$4,"",F271+1))</f>
        <v/>
      </c>
      <c r="F272" s="125" t="str">
        <f>IF($B271="","",IF($B271+1&gt;'Qredits maandlasten'!$C$4,"",EOMONTH(E272,0)))</f>
        <v/>
      </c>
      <c r="G272" s="126" t="str">
        <f>IF($B271="","",IF($B271+1&gt;'Qredits maandlasten'!$C$4,"",(_xlfn.DAYS(F272,E272)+1)/DAY(F272)))</f>
        <v/>
      </c>
      <c r="H272" s="127"/>
      <c r="I272" s="128" t="str">
        <f>IF($B271="","",IF($B271+1&gt;'Qredits maandlasten'!$C$4,"",I271-J271))</f>
        <v/>
      </c>
      <c r="J272" s="128" t="str">
        <f>IF($B271="","",IF($B271+1&gt;'Qredits maandlasten'!$C$4,"",IF(B271&lt;'Qredits maandlasten'!$C$11-1,0,IF('Qredits maandlasten'!$C$10=dropdowns!$A$121,'Qredits maandlasten'!$J$3,IF('Qredits maandlasten'!$C$10=dropdowns!$A$120,IFERROR('Qredits maandlasten'!$J$3-K272,0),0)))))</f>
        <v/>
      </c>
      <c r="K272" s="128" t="str">
        <f>IF($B271="","",IF($B271+1&gt;'Qredits maandlasten'!$C$4,"",G272*I272*'Qredits maandlasten'!$C$8))</f>
        <v/>
      </c>
      <c r="L272" s="128" t="str">
        <f t="shared" si="22"/>
        <v/>
      </c>
      <c r="M272" s="128" t="str">
        <f t="shared" si="20"/>
        <v/>
      </c>
      <c r="N272" s="127"/>
      <c r="O272" s="129" t="str">
        <f>IF($B272="","",'Qredits maandlasten'!$C$8)</f>
        <v/>
      </c>
      <c r="P272" s="129" t="str">
        <f>IF($B272="","",'Qredits maandlasten'!$C$8*(POWER(1+'Qredits maandlasten'!$C$8,$B272-1+1)))</f>
        <v/>
      </c>
      <c r="Q272" s="129" t="str">
        <f t="shared" si="23"/>
        <v/>
      </c>
      <c r="R272" s="127"/>
      <c r="S272" s="128" t="str">
        <f t="shared" si="21"/>
        <v/>
      </c>
      <c r="T272" s="128" t="str">
        <f>IF(S272="","",J272/(POWER(1+'Qredits maandlasten'!$C$8,$B272-1+1)))</f>
        <v/>
      </c>
      <c r="U272" s="130" t="str">
        <f t="shared" si="24"/>
        <v/>
      </c>
      <c r="V272" s="128" t="str">
        <f>IF($B272="","",K272/(POWER(1+'Qredits maandlasten'!$C$8,$B272-1+1)))</f>
        <v/>
      </c>
      <c r="W272" s="127"/>
    </row>
    <row r="273" spans="1:23" s="132" customFormat="1" x14ac:dyDescent="0.2">
      <c r="A273" s="123"/>
      <c r="B273" s="124" t="str">
        <f>IF($B272="","",IF($B272+1&gt;'Qredits maandlasten'!$C$4,"",Schema!B272+1))</f>
        <v/>
      </c>
      <c r="C273" s="125" t="str">
        <f>IF($B272="","",IF($B272+1&gt;'Qredits maandlasten'!$C$4,"",EOMONTH(C272,0)+1))</f>
        <v/>
      </c>
      <c r="D273" s="123"/>
      <c r="E273" s="125" t="str">
        <f>IF($B272="","",IF($B272+1&gt;'Qredits maandlasten'!$C$4,"",F272+1))</f>
        <v/>
      </c>
      <c r="F273" s="125" t="str">
        <f>IF($B272="","",IF($B272+1&gt;'Qredits maandlasten'!$C$4,"",EOMONTH(E273,0)))</f>
        <v/>
      </c>
      <c r="G273" s="126" t="str">
        <f>IF($B272="","",IF($B272+1&gt;'Qredits maandlasten'!$C$4,"",(_xlfn.DAYS(F273,E273)+1)/DAY(F273)))</f>
        <v/>
      </c>
      <c r="H273" s="127"/>
      <c r="I273" s="128" t="str">
        <f>IF($B272="","",IF($B272+1&gt;'Qredits maandlasten'!$C$4,"",I272-J272))</f>
        <v/>
      </c>
      <c r="J273" s="128" t="str">
        <f>IF($B272="","",IF($B272+1&gt;'Qredits maandlasten'!$C$4,"",IF(B272&lt;'Qredits maandlasten'!$C$11-1,0,IF('Qredits maandlasten'!$C$10=dropdowns!$A$121,'Qredits maandlasten'!$J$3,IF('Qredits maandlasten'!$C$10=dropdowns!$A$120,IFERROR('Qredits maandlasten'!$J$3-K273,0),0)))))</f>
        <v/>
      </c>
      <c r="K273" s="128" t="str">
        <f>IF($B272="","",IF($B272+1&gt;'Qredits maandlasten'!$C$4,"",G273*I273*'Qredits maandlasten'!$C$8))</f>
        <v/>
      </c>
      <c r="L273" s="128" t="str">
        <f t="shared" si="22"/>
        <v/>
      </c>
      <c r="M273" s="128" t="str">
        <f t="shared" si="20"/>
        <v/>
      </c>
      <c r="N273" s="127"/>
      <c r="O273" s="129" t="str">
        <f>IF($B273="","",'Qredits maandlasten'!$C$8)</f>
        <v/>
      </c>
      <c r="P273" s="129" t="str">
        <f>IF($B273="","",'Qredits maandlasten'!$C$8*(POWER(1+'Qredits maandlasten'!$C$8,$B273-1+1)))</f>
        <v/>
      </c>
      <c r="Q273" s="129" t="str">
        <f t="shared" si="23"/>
        <v/>
      </c>
      <c r="R273" s="127"/>
      <c r="S273" s="128" t="str">
        <f t="shared" si="21"/>
        <v/>
      </c>
      <c r="T273" s="128" t="str">
        <f>IF(S273="","",J273/(POWER(1+'Qredits maandlasten'!$C$8,$B273-1+1)))</f>
        <v/>
      </c>
      <c r="U273" s="130" t="str">
        <f t="shared" si="24"/>
        <v/>
      </c>
      <c r="V273" s="128" t="str">
        <f>IF($B273="","",K273/(POWER(1+'Qredits maandlasten'!$C$8,$B273-1+1)))</f>
        <v/>
      </c>
      <c r="W273" s="127"/>
    </row>
    <row r="274" spans="1:23" s="132" customFormat="1" x14ac:dyDescent="0.2">
      <c r="A274" s="123"/>
      <c r="B274" s="124" t="str">
        <f>IF($B273="","",IF($B273+1&gt;'Qredits maandlasten'!$C$4,"",Schema!B273+1))</f>
        <v/>
      </c>
      <c r="C274" s="125" t="str">
        <f>IF($B273="","",IF($B273+1&gt;'Qredits maandlasten'!$C$4,"",EOMONTH(C273,0)+1))</f>
        <v/>
      </c>
      <c r="D274" s="123"/>
      <c r="E274" s="125" t="str">
        <f>IF($B273="","",IF($B273+1&gt;'Qredits maandlasten'!$C$4,"",F273+1))</f>
        <v/>
      </c>
      <c r="F274" s="125" t="str">
        <f>IF($B273="","",IF($B273+1&gt;'Qredits maandlasten'!$C$4,"",EOMONTH(E274,0)))</f>
        <v/>
      </c>
      <c r="G274" s="126" t="str">
        <f>IF($B273="","",IF($B273+1&gt;'Qredits maandlasten'!$C$4,"",(_xlfn.DAYS(F274,E274)+1)/DAY(F274)))</f>
        <v/>
      </c>
      <c r="H274" s="127"/>
      <c r="I274" s="128" t="str">
        <f>IF($B273="","",IF($B273+1&gt;'Qredits maandlasten'!$C$4,"",I273-J273))</f>
        <v/>
      </c>
      <c r="J274" s="128" t="str">
        <f>IF($B273="","",IF($B273+1&gt;'Qredits maandlasten'!$C$4,"",IF(B273&lt;'Qredits maandlasten'!$C$11-1,0,IF('Qredits maandlasten'!$C$10=dropdowns!$A$121,'Qredits maandlasten'!$J$3,IF('Qredits maandlasten'!$C$10=dropdowns!$A$120,IFERROR('Qredits maandlasten'!$J$3-K274,0),0)))))</f>
        <v/>
      </c>
      <c r="K274" s="128" t="str">
        <f>IF($B273="","",IF($B273+1&gt;'Qredits maandlasten'!$C$4,"",G274*I274*'Qredits maandlasten'!$C$8))</f>
        <v/>
      </c>
      <c r="L274" s="128" t="str">
        <f t="shared" si="22"/>
        <v/>
      </c>
      <c r="M274" s="128" t="str">
        <f t="shared" si="20"/>
        <v/>
      </c>
      <c r="N274" s="127"/>
      <c r="O274" s="129" t="str">
        <f>IF($B274="","",'Qredits maandlasten'!$C$8)</f>
        <v/>
      </c>
      <c r="P274" s="129" t="str">
        <f>IF($B274="","",'Qredits maandlasten'!$C$8*(POWER(1+'Qredits maandlasten'!$C$8,$B274-1+1)))</f>
        <v/>
      </c>
      <c r="Q274" s="129" t="str">
        <f t="shared" si="23"/>
        <v/>
      </c>
      <c r="R274" s="127"/>
      <c r="S274" s="128" t="str">
        <f t="shared" si="21"/>
        <v/>
      </c>
      <c r="T274" s="128" t="str">
        <f>IF(S274="","",J274/(POWER(1+'Qredits maandlasten'!$C$8,$B274-1+1)))</f>
        <v/>
      </c>
      <c r="U274" s="130" t="str">
        <f t="shared" si="24"/>
        <v/>
      </c>
      <c r="V274" s="128" t="str">
        <f>IF($B274="","",K274/(POWER(1+'Qredits maandlasten'!$C$8,$B274-1+1)))</f>
        <v/>
      </c>
      <c r="W274" s="127"/>
    </row>
    <row r="275" spans="1:23" s="132" customFormat="1" x14ac:dyDescent="0.2">
      <c r="A275" s="123"/>
      <c r="B275" s="124" t="str">
        <f>IF($B274="","",IF($B274+1&gt;'Qredits maandlasten'!$C$4,"",Schema!B274+1))</f>
        <v/>
      </c>
      <c r="C275" s="125" t="str">
        <f>IF($B274="","",IF($B274+1&gt;'Qredits maandlasten'!$C$4,"",EOMONTH(C274,0)+1))</f>
        <v/>
      </c>
      <c r="D275" s="123"/>
      <c r="E275" s="125" t="str">
        <f>IF($B274="","",IF($B274+1&gt;'Qredits maandlasten'!$C$4,"",F274+1))</f>
        <v/>
      </c>
      <c r="F275" s="125" t="str">
        <f>IF($B274="","",IF($B274+1&gt;'Qredits maandlasten'!$C$4,"",EOMONTH(E275,0)))</f>
        <v/>
      </c>
      <c r="G275" s="126" t="str">
        <f>IF($B274="","",IF($B274+1&gt;'Qredits maandlasten'!$C$4,"",(_xlfn.DAYS(F275,E275)+1)/DAY(F275)))</f>
        <v/>
      </c>
      <c r="H275" s="127"/>
      <c r="I275" s="128" t="str">
        <f>IF($B274="","",IF($B274+1&gt;'Qredits maandlasten'!$C$4,"",I274-J274))</f>
        <v/>
      </c>
      <c r="J275" s="128" t="str">
        <f>IF($B274="","",IF($B274+1&gt;'Qredits maandlasten'!$C$4,"",IF(B274&lt;'Qredits maandlasten'!$C$11-1,0,IF('Qredits maandlasten'!$C$10=dropdowns!$A$121,'Qredits maandlasten'!$J$3,IF('Qredits maandlasten'!$C$10=dropdowns!$A$120,IFERROR('Qredits maandlasten'!$J$3-K275,0),0)))))</f>
        <v/>
      </c>
      <c r="K275" s="128" t="str">
        <f>IF($B274="","",IF($B274+1&gt;'Qredits maandlasten'!$C$4,"",G275*I275*'Qredits maandlasten'!$C$8))</f>
        <v/>
      </c>
      <c r="L275" s="128" t="str">
        <f t="shared" si="22"/>
        <v/>
      </c>
      <c r="M275" s="128" t="str">
        <f t="shared" si="20"/>
        <v/>
      </c>
      <c r="N275" s="127"/>
      <c r="O275" s="129" t="str">
        <f>IF($B275="","",'Qredits maandlasten'!$C$8)</f>
        <v/>
      </c>
      <c r="P275" s="129" t="str">
        <f>IF($B275="","",'Qredits maandlasten'!$C$8*(POWER(1+'Qredits maandlasten'!$C$8,$B275-1+1)))</f>
        <v/>
      </c>
      <c r="Q275" s="129" t="str">
        <f t="shared" si="23"/>
        <v/>
      </c>
      <c r="R275" s="127"/>
      <c r="S275" s="128" t="str">
        <f t="shared" si="21"/>
        <v/>
      </c>
      <c r="T275" s="128" t="str">
        <f>IF(S275="","",J275/(POWER(1+'Qredits maandlasten'!$C$8,$B275-1+1)))</f>
        <v/>
      </c>
      <c r="U275" s="130" t="str">
        <f t="shared" si="24"/>
        <v/>
      </c>
      <c r="V275" s="128" t="str">
        <f>IF($B275="","",K275/(POWER(1+'Qredits maandlasten'!$C$8,$B275-1+1)))</f>
        <v/>
      </c>
      <c r="W275" s="127"/>
    </row>
    <row r="276" spans="1:23" s="132" customFormat="1" x14ac:dyDescent="0.2">
      <c r="A276" s="123"/>
      <c r="B276" s="124" t="str">
        <f>IF($B275="","",IF($B275+1&gt;'Qredits maandlasten'!$C$4,"",Schema!B275+1))</f>
        <v/>
      </c>
      <c r="C276" s="125" t="str">
        <f>IF($B275="","",IF($B275+1&gt;'Qredits maandlasten'!$C$4,"",EOMONTH(C275,0)+1))</f>
        <v/>
      </c>
      <c r="D276" s="123"/>
      <c r="E276" s="125" t="str">
        <f>IF($B275="","",IF($B275+1&gt;'Qredits maandlasten'!$C$4,"",F275+1))</f>
        <v/>
      </c>
      <c r="F276" s="125" t="str">
        <f>IF($B275="","",IF($B275+1&gt;'Qredits maandlasten'!$C$4,"",EOMONTH(E276,0)))</f>
        <v/>
      </c>
      <c r="G276" s="126" t="str">
        <f>IF($B275="","",IF($B275+1&gt;'Qredits maandlasten'!$C$4,"",(_xlfn.DAYS(F276,E276)+1)/DAY(F276)))</f>
        <v/>
      </c>
      <c r="H276" s="127"/>
      <c r="I276" s="128" t="str">
        <f>IF($B275="","",IF($B275+1&gt;'Qredits maandlasten'!$C$4,"",I275-J275))</f>
        <v/>
      </c>
      <c r="J276" s="128" t="str">
        <f>IF($B275="","",IF($B275+1&gt;'Qredits maandlasten'!$C$4,"",IF(B275&lt;'Qredits maandlasten'!$C$11-1,0,IF('Qredits maandlasten'!$C$10=dropdowns!$A$121,'Qredits maandlasten'!$J$3,IF('Qredits maandlasten'!$C$10=dropdowns!$A$120,IFERROR('Qredits maandlasten'!$J$3-K276,0),0)))))</f>
        <v/>
      </c>
      <c r="K276" s="128" t="str">
        <f>IF($B275="","",IF($B275+1&gt;'Qredits maandlasten'!$C$4,"",G276*I276*'Qredits maandlasten'!$C$8))</f>
        <v/>
      </c>
      <c r="L276" s="128" t="str">
        <f t="shared" si="22"/>
        <v/>
      </c>
      <c r="M276" s="128" t="str">
        <f t="shared" si="20"/>
        <v/>
      </c>
      <c r="N276" s="127"/>
      <c r="O276" s="129" t="str">
        <f>IF($B276="","",'Qredits maandlasten'!$C$8)</f>
        <v/>
      </c>
      <c r="P276" s="129" t="str">
        <f>IF($B276="","",'Qredits maandlasten'!$C$8*(POWER(1+'Qredits maandlasten'!$C$8,$B276-1+1)))</f>
        <v/>
      </c>
      <c r="Q276" s="129" t="str">
        <f t="shared" si="23"/>
        <v/>
      </c>
      <c r="R276" s="127"/>
      <c r="S276" s="128" t="str">
        <f t="shared" si="21"/>
        <v/>
      </c>
      <c r="T276" s="128" t="str">
        <f>IF(S276="","",J276/(POWER(1+'Qredits maandlasten'!$C$8,$B276-1+1)))</f>
        <v/>
      </c>
      <c r="U276" s="130" t="str">
        <f t="shared" si="24"/>
        <v/>
      </c>
      <c r="V276" s="128" t="str">
        <f>IF($B276="","",K276/(POWER(1+'Qredits maandlasten'!$C$8,$B276-1+1)))</f>
        <v/>
      </c>
      <c r="W276" s="127"/>
    </row>
    <row r="277" spans="1:23" s="132" customFormat="1" x14ac:dyDescent="0.2">
      <c r="A277" s="123"/>
      <c r="B277" s="124" t="str">
        <f>IF($B276="","",IF($B276+1&gt;'Qredits maandlasten'!$C$4,"",Schema!B276+1))</f>
        <v/>
      </c>
      <c r="C277" s="125" t="str">
        <f>IF($B276="","",IF($B276+1&gt;'Qredits maandlasten'!$C$4,"",EOMONTH(C276,0)+1))</f>
        <v/>
      </c>
      <c r="D277" s="123"/>
      <c r="E277" s="125" t="str">
        <f>IF($B276="","",IF($B276+1&gt;'Qredits maandlasten'!$C$4,"",F276+1))</f>
        <v/>
      </c>
      <c r="F277" s="125" t="str">
        <f>IF($B276="","",IF($B276+1&gt;'Qredits maandlasten'!$C$4,"",EOMONTH(E277,0)))</f>
        <v/>
      </c>
      <c r="G277" s="126" t="str">
        <f>IF($B276="","",IF($B276+1&gt;'Qredits maandlasten'!$C$4,"",(_xlfn.DAYS(F277,E277)+1)/DAY(F277)))</f>
        <v/>
      </c>
      <c r="H277" s="127"/>
      <c r="I277" s="128" t="str">
        <f>IF($B276="","",IF($B276+1&gt;'Qredits maandlasten'!$C$4,"",I276-J276))</f>
        <v/>
      </c>
      <c r="J277" s="128" t="str">
        <f>IF($B276="","",IF($B276+1&gt;'Qredits maandlasten'!$C$4,"",IF(B276&lt;'Qredits maandlasten'!$C$11-1,0,IF('Qredits maandlasten'!$C$10=dropdowns!$A$121,'Qredits maandlasten'!$J$3,IF('Qredits maandlasten'!$C$10=dropdowns!$A$120,IFERROR('Qredits maandlasten'!$J$3-K277,0),0)))))</f>
        <v/>
      </c>
      <c r="K277" s="128" t="str">
        <f>IF($B276="","",IF($B276+1&gt;'Qredits maandlasten'!$C$4,"",G277*I277*'Qredits maandlasten'!$C$8))</f>
        <v/>
      </c>
      <c r="L277" s="128" t="str">
        <f t="shared" si="22"/>
        <v/>
      </c>
      <c r="M277" s="128" t="str">
        <f t="shared" si="20"/>
        <v/>
      </c>
      <c r="N277" s="127"/>
      <c r="O277" s="129" t="str">
        <f>IF($B277="","",'Qredits maandlasten'!$C$8)</f>
        <v/>
      </c>
      <c r="P277" s="129" t="str">
        <f>IF($B277="","",'Qredits maandlasten'!$C$8*(POWER(1+'Qredits maandlasten'!$C$8,$B277-1+1)))</f>
        <v/>
      </c>
      <c r="Q277" s="129" t="str">
        <f t="shared" si="23"/>
        <v/>
      </c>
      <c r="R277" s="127"/>
      <c r="S277" s="128" t="str">
        <f t="shared" si="21"/>
        <v/>
      </c>
      <c r="T277" s="128" t="str">
        <f>IF(S277="","",J277/(POWER(1+'Qredits maandlasten'!$C$8,$B277-1+1)))</f>
        <v/>
      </c>
      <c r="U277" s="130" t="str">
        <f t="shared" si="24"/>
        <v/>
      </c>
      <c r="V277" s="128" t="str">
        <f>IF($B277="","",K277/(POWER(1+'Qredits maandlasten'!$C$8,$B277-1+1)))</f>
        <v/>
      </c>
      <c r="W277" s="127"/>
    </row>
    <row r="278" spans="1:23" s="132" customFormat="1" x14ac:dyDescent="0.2">
      <c r="A278" s="123"/>
      <c r="B278" s="124" t="str">
        <f>IF($B277="","",IF($B277+1&gt;'Qredits maandlasten'!$C$4,"",Schema!B277+1))</f>
        <v/>
      </c>
      <c r="C278" s="125" t="str">
        <f>IF($B277="","",IF($B277+1&gt;'Qredits maandlasten'!$C$4,"",EOMONTH(C277,0)+1))</f>
        <v/>
      </c>
      <c r="D278" s="123"/>
      <c r="E278" s="125" t="str">
        <f>IF($B277="","",IF($B277+1&gt;'Qredits maandlasten'!$C$4,"",F277+1))</f>
        <v/>
      </c>
      <c r="F278" s="125" t="str">
        <f>IF($B277="","",IF($B277+1&gt;'Qredits maandlasten'!$C$4,"",EOMONTH(E278,0)))</f>
        <v/>
      </c>
      <c r="G278" s="126" t="str">
        <f>IF($B277="","",IF($B277+1&gt;'Qredits maandlasten'!$C$4,"",(_xlfn.DAYS(F278,E278)+1)/DAY(F278)))</f>
        <v/>
      </c>
      <c r="H278" s="127"/>
      <c r="I278" s="128" t="str">
        <f>IF($B277="","",IF($B277+1&gt;'Qredits maandlasten'!$C$4,"",I277-J277))</f>
        <v/>
      </c>
      <c r="J278" s="128" t="str">
        <f>IF($B277="","",IF($B277+1&gt;'Qredits maandlasten'!$C$4,"",IF(B277&lt;'Qredits maandlasten'!$C$11-1,0,IF('Qredits maandlasten'!$C$10=dropdowns!$A$121,'Qredits maandlasten'!$J$3,IF('Qredits maandlasten'!$C$10=dropdowns!$A$120,IFERROR('Qredits maandlasten'!$J$3-K278,0),0)))))</f>
        <v/>
      </c>
      <c r="K278" s="128" t="str">
        <f>IF($B277="","",IF($B277+1&gt;'Qredits maandlasten'!$C$4,"",G278*I278*'Qredits maandlasten'!$C$8))</f>
        <v/>
      </c>
      <c r="L278" s="128" t="str">
        <f t="shared" si="22"/>
        <v/>
      </c>
      <c r="M278" s="128" t="str">
        <f t="shared" si="20"/>
        <v/>
      </c>
      <c r="N278" s="127"/>
      <c r="O278" s="129" t="str">
        <f>IF($B278="","",'Qredits maandlasten'!$C$8)</f>
        <v/>
      </c>
      <c r="P278" s="129" t="str">
        <f>IF($B278="","",'Qredits maandlasten'!$C$8*(POWER(1+'Qredits maandlasten'!$C$8,$B278-1+1)))</f>
        <v/>
      </c>
      <c r="Q278" s="129" t="str">
        <f t="shared" si="23"/>
        <v/>
      </c>
      <c r="R278" s="127"/>
      <c r="S278" s="128" t="str">
        <f t="shared" si="21"/>
        <v/>
      </c>
      <c r="T278" s="128" t="str">
        <f>IF(S278="","",J278/(POWER(1+'Qredits maandlasten'!$C$8,$B278-1+1)))</f>
        <v/>
      </c>
      <c r="U278" s="130" t="str">
        <f t="shared" si="24"/>
        <v/>
      </c>
      <c r="V278" s="128" t="str">
        <f>IF($B278="","",K278/(POWER(1+'Qredits maandlasten'!$C$8,$B278-1+1)))</f>
        <v/>
      </c>
      <c r="W278" s="127"/>
    </row>
    <row r="279" spans="1:23" s="132" customFormat="1" x14ac:dyDescent="0.2">
      <c r="A279" s="123"/>
      <c r="B279" s="124" t="str">
        <f>IF($B278="","",IF($B278+1&gt;'Qredits maandlasten'!$C$4,"",Schema!B278+1))</f>
        <v/>
      </c>
      <c r="C279" s="125" t="str">
        <f>IF($B278="","",IF($B278+1&gt;'Qredits maandlasten'!$C$4,"",EOMONTH(C278,0)+1))</f>
        <v/>
      </c>
      <c r="D279" s="123"/>
      <c r="E279" s="125" t="str">
        <f>IF($B278="","",IF($B278+1&gt;'Qredits maandlasten'!$C$4,"",F278+1))</f>
        <v/>
      </c>
      <c r="F279" s="125" t="str">
        <f>IF($B278="","",IF($B278+1&gt;'Qredits maandlasten'!$C$4,"",EOMONTH(E279,0)))</f>
        <v/>
      </c>
      <c r="G279" s="126" t="str">
        <f>IF($B278="","",IF($B278+1&gt;'Qredits maandlasten'!$C$4,"",(_xlfn.DAYS(F279,E279)+1)/DAY(F279)))</f>
        <v/>
      </c>
      <c r="H279" s="127"/>
      <c r="I279" s="128" t="str">
        <f>IF($B278="","",IF($B278+1&gt;'Qredits maandlasten'!$C$4,"",I278-J278))</f>
        <v/>
      </c>
      <c r="J279" s="128" t="str">
        <f>IF($B278="","",IF($B278+1&gt;'Qredits maandlasten'!$C$4,"",IF(B278&lt;'Qredits maandlasten'!$C$11-1,0,IF('Qredits maandlasten'!$C$10=dropdowns!$A$121,'Qredits maandlasten'!$J$3,IF('Qredits maandlasten'!$C$10=dropdowns!$A$120,IFERROR('Qredits maandlasten'!$J$3-K279,0),0)))))</f>
        <v/>
      </c>
      <c r="K279" s="128" t="str">
        <f>IF($B278="","",IF($B278+1&gt;'Qredits maandlasten'!$C$4,"",G279*I279*'Qredits maandlasten'!$C$8))</f>
        <v/>
      </c>
      <c r="L279" s="128" t="str">
        <f t="shared" si="22"/>
        <v/>
      </c>
      <c r="M279" s="128" t="str">
        <f t="shared" si="20"/>
        <v/>
      </c>
      <c r="N279" s="127"/>
      <c r="O279" s="129" t="str">
        <f>IF($B279="","",'Qredits maandlasten'!$C$8)</f>
        <v/>
      </c>
      <c r="P279" s="129" t="str">
        <f>IF($B279="","",'Qredits maandlasten'!$C$8*(POWER(1+'Qredits maandlasten'!$C$8,$B279-1+1)))</f>
        <v/>
      </c>
      <c r="Q279" s="129" t="str">
        <f t="shared" si="23"/>
        <v/>
      </c>
      <c r="R279" s="127"/>
      <c r="S279" s="128" t="str">
        <f t="shared" si="21"/>
        <v/>
      </c>
      <c r="T279" s="128" t="str">
        <f>IF(S279="","",J279/(POWER(1+'Qredits maandlasten'!$C$8,$B279-1+1)))</f>
        <v/>
      </c>
      <c r="U279" s="130" t="str">
        <f t="shared" si="24"/>
        <v/>
      </c>
      <c r="V279" s="128" t="str">
        <f>IF($B279="","",K279/(POWER(1+'Qredits maandlasten'!$C$8,$B279-1+1)))</f>
        <v/>
      </c>
      <c r="W279" s="127"/>
    </row>
    <row r="280" spans="1:23" s="132" customFormat="1" x14ac:dyDescent="0.2">
      <c r="A280" s="123"/>
      <c r="B280" s="124" t="str">
        <f>IF($B279="","",IF($B279+1&gt;'Qredits maandlasten'!$C$4,"",Schema!B279+1))</f>
        <v/>
      </c>
      <c r="C280" s="125" t="str">
        <f>IF($B279="","",IF($B279+1&gt;'Qredits maandlasten'!$C$4,"",EOMONTH(C279,0)+1))</f>
        <v/>
      </c>
      <c r="D280" s="123"/>
      <c r="E280" s="125" t="str">
        <f>IF($B279="","",IF($B279+1&gt;'Qredits maandlasten'!$C$4,"",F279+1))</f>
        <v/>
      </c>
      <c r="F280" s="125" t="str">
        <f>IF($B279="","",IF($B279+1&gt;'Qredits maandlasten'!$C$4,"",EOMONTH(E280,0)))</f>
        <v/>
      </c>
      <c r="G280" s="126" t="str">
        <f>IF($B279="","",IF($B279+1&gt;'Qredits maandlasten'!$C$4,"",(_xlfn.DAYS(F280,E280)+1)/DAY(F280)))</f>
        <v/>
      </c>
      <c r="H280" s="127"/>
      <c r="I280" s="128" t="str">
        <f>IF($B279="","",IF($B279+1&gt;'Qredits maandlasten'!$C$4,"",I279-J279))</f>
        <v/>
      </c>
      <c r="J280" s="128" t="str">
        <f>IF($B279="","",IF($B279+1&gt;'Qredits maandlasten'!$C$4,"",IF(B279&lt;'Qredits maandlasten'!$C$11-1,0,IF('Qredits maandlasten'!$C$10=dropdowns!$A$121,'Qredits maandlasten'!$J$3,IF('Qredits maandlasten'!$C$10=dropdowns!$A$120,IFERROR('Qredits maandlasten'!$J$3-K280,0),0)))))</f>
        <v/>
      </c>
      <c r="K280" s="128" t="str">
        <f>IF($B279="","",IF($B279+1&gt;'Qredits maandlasten'!$C$4,"",G280*I280*'Qredits maandlasten'!$C$8))</f>
        <v/>
      </c>
      <c r="L280" s="128" t="str">
        <f t="shared" si="22"/>
        <v/>
      </c>
      <c r="M280" s="128" t="str">
        <f t="shared" si="20"/>
        <v/>
      </c>
      <c r="N280" s="127"/>
      <c r="O280" s="129" t="str">
        <f>IF($B280="","",'Qredits maandlasten'!$C$8)</f>
        <v/>
      </c>
      <c r="P280" s="129" t="str">
        <f>IF($B280="","",'Qredits maandlasten'!$C$8*(POWER(1+'Qredits maandlasten'!$C$8,$B280-1+1)))</f>
        <v/>
      </c>
      <c r="Q280" s="129" t="str">
        <f t="shared" si="23"/>
        <v/>
      </c>
      <c r="R280" s="127"/>
      <c r="S280" s="128" t="str">
        <f t="shared" si="21"/>
        <v/>
      </c>
      <c r="T280" s="128" t="str">
        <f>IF(S280="","",J280/(POWER(1+'Qredits maandlasten'!$C$8,$B280-1+1)))</f>
        <v/>
      </c>
      <c r="U280" s="130" t="str">
        <f t="shared" si="24"/>
        <v/>
      </c>
      <c r="V280" s="128" t="str">
        <f>IF($B280="","",K280/(POWER(1+'Qredits maandlasten'!$C$8,$B280-1+1)))</f>
        <v/>
      </c>
      <c r="W280" s="127"/>
    </row>
    <row r="281" spans="1:23" s="132" customFormat="1" x14ac:dyDescent="0.2">
      <c r="A281" s="123"/>
      <c r="B281" s="124" t="str">
        <f>IF($B280="","",IF($B280+1&gt;'Qredits maandlasten'!$C$4,"",Schema!B280+1))</f>
        <v/>
      </c>
      <c r="C281" s="125" t="str">
        <f>IF($B280="","",IF($B280+1&gt;'Qredits maandlasten'!$C$4,"",EOMONTH(C280,0)+1))</f>
        <v/>
      </c>
      <c r="D281" s="123"/>
      <c r="E281" s="125" t="str">
        <f>IF($B280="","",IF($B280+1&gt;'Qredits maandlasten'!$C$4,"",F280+1))</f>
        <v/>
      </c>
      <c r="F281" s="125" t="str">
        <f>IF($B280="","",IF($B280+1&gt;'Qredits maandlasten'!$C$4,"",EOMONTH(E281,0)))</f>
        <v/>
      </c>
      <c r="G281" s="126" t="str">
        <f>IF($B280="","",IF($B280+1&gt;'Qredits maandlasten'!$C$4,"",(_xlfn.DAYS(F281,E281)+1)/DAY(F281)))</f>
        <v/>
      </c>
      <c r="H281" s="127"/>
      <c r="I281" s="128" t="str">
        <f>IF($B280="","",IF($B280+1&gt;'Qredits maandlasten'!$C$4,"",I280-J280))</f>
        <v/>
      </c>
      <c r="J281" s="128" t="str">
        <f>IF($B280="","",IF($B280+1&gt;'Qredits maandlasten'!$C$4,"",IF(B280&lt;'Qredits maandlasten'!$C$11-1,0,IF('Qredits maandlasten'!$C$10=dropdowns!$A$121,'Qredits maandlasten'!$J$3,IF('Qredits maandlasten'!$C$10=dropdowns!$A$120,IFERROR('Qredits maandlasten'!$J$3-K281,0),0)))))</f>
        <v/>
      </c>
      <c r="K281" s="128" t="str">
        <f>IF($B280="","",IF($B280+1&gt;'Qredits maandlasten'!$C$4,"",G281*I281*'Qredits maandlasten'!$C$8))</f>
        <v/>
      </c>
      <c r="L281" s="128" t="str">
        <f t="shared" si="22"/>
        <v/>
      </c>
      <c r="M281" s="128" t="str">
        <f t="shared" si="20"/>
        <v/>
      </c>
      <c r="N281" s="127"/>
      <c r="O281" s="129" t="str">
        <f>IF($B281="","",'Qredits maandlasten'!$C$8)</f>
        <v/>
      </c>
      <c r="P281" s="129" t="str">
        <f>IF($B281="","",'Qredits maandlasten'!$C$8*(POWER(1+'Qredits maandlasten'!$C$8,$B281-1+1)))</f>
        <v/>
      </c>
      <c r="Q281" s="129" t="str">
        <f t="shared" si="23"/>
        <v/>
      </c>
      <c r="R281" s="127"/>
      <c r="S281" s="128" t="str">
        <f t="shared" si="21"/>
        <v/>
      </c>
      <c r="T281" s="128" t="str">
        <f>IF(S281="","",J281/(POWER(1+'Qredits maandlasten'!$C$8,$B281-1+1)))</f>
        <v/>
      </c>
      <c r="U281" s="130" t="str">
        <f t="shared" si="24"/>
        <v/>
      </c>
      <c r="V281" s="128" t="str">
        <f>IF($B281="","",K281/(POWER(1+'Qredits maandlasten'!$C$8,$B281-1+1)))</f>
        <v/>
      </c>
      <c r="W281" s="127"/>
    </row>
    <row r="282" spans="1:23" s="132" customFormat="1" x14ac:dyDescent="0.2">
      <c r="A282" s="123"/>
      <c r="B282" s="124" t="str">
        <f>IF($B281="","",IF($B281+1&gt;'Qredits maandlasten'!$C$4,"",Schema!B281+1))</f>
        <v/>
      </c>
      <c r="C282" s="125" t="str">
        <f>IF($B281="","",IF($B281+1&gt;'Qredits maandlasten'!$C$4,"",EOMONTH(C281,0)+1))</f>
        <v/>
      </c>
      <c r="D282" s="123"/>
      <c r="E282" s="125" t="str">
        <f>IF($B281="","",IF($B281+1&gt;'Qredits maandlasten'!$C$4,"",F281+1))</f>
        <v/>
      </c>
      <c r="F282" s="125" t="str">
        <f>IF($B281="","",IF($B281+1&gt;'Qredits maandlasten'!$C$4,"",EOMONTH(E282,0)))</f>
        <v/>
      </c>
      <c r="G282" s="126" t="str">
        <f>IF($B281="","",IF($B281+1&gt;'Qredits maandlasten'!$C$4,"",(_xlfn.DAYS(F282,E282)+1)/DAY(F282)))</f>
        <v/>
      </c>
      <c r="H282" s="127"/>
      <c r="I282" s="128" t="str">
        <f>IF($B281="","",IF($B281+1&gt;'Qredits maandlasten'!$C$4,"",I281-J281))</f>
        <v/>
      </c>
      <c r="J282" s="128" t="str">
        <f>IF($B281="","",IF($B281+1&gt;'Qredits maandlasten'!$C$4,"",IF(B281&lt;'Qredits maandlasten'!$C$11-1,0,IF('Qredits maandlasten'!$C$10=dropdowns!$A$121,'Qredits maandlasten'!$J$3,IF('Qredits maandlasten'!$C$10=dropdowns!$A$120,IFERROR('Qredits maandlasten'!$J$3-K282,0),0)))))</f>
        <v/>
      </c>
      <c r="K282" s="128" t="str">
        <f>IF($B281="","",IF($B281+1&gt;'Qredits maandlasten'!$C$4,"",G282*I282*'Qredits maandlasten'!$C$8))</f>
        <v/>
      </c>
      <c r="L282" s="128" t="str">
        <f t="shared" si="22"/>
        <v/>
      </c>
      <c r="M282" s="128" t="str">
        <f t="shared" si="20"/>
        <v/>
      </c>
      <c r="N282" s="127"/>
      <c r="O282" s="129" t="str">
        <f>IF($B282="","",'Qredits maandlasten'!$C$8)</f>
        <v/>
      </c>
      <c r="P282" s="129" t="str">
        <f>IF($B282="","",'Qredits maandlasten'!$C$8*(POWER(1+'Qredits maandlasten'!$C$8,$B282-1+1)))</f>
        <v/>
      </c>
      <c r="Q282" s="129" t="str">
        <f t="shared" si="23"/>
        <v/>
      </c>
      <c r="R282" s="127"/>
      <c r="S282" s="128" t="str">
        <f t="shared" si="21"/>
        <v/>
      </c>
      <c r="T282" s="128" t="str">
        <f>IF(S282="","",J282/(POWER(1+'Qredits maandlasten'!$C$8,$B282-1+1)))</f>
        <v/>
      </c>
      <c r="U282" s="130" t="str">
        <f t="shared" si="24"/>
        <v/>
      </c>
      <c r="V282" s="128" t="str">
        <f>IF($B282="","",K282/(POWER(1+'Qredits maandlasten'!$C$8,$B282-1+1)))</f>
        <v/>
      </c>
      <c r="W282" s="127"/>
    </row>
    <row r="283" spans="1:23" s="132" customFormat="1" x14ac:dyDescent="0.2">
      <c r="A283" s="123"/>
      <c r="B283" s="124" t="str">
        <f>IF($B282="","",IF($B282+1&gt;'Qredits maandlasten'!$C$4,"",Schema!B282+1))</f>
        <v/>
      </c>
      <c r="C283" s="125" t="str">
        <f>IF($B282="","",IF($B282+1&gt;'Qredits maandlasten'!$C$4,"",EOMONTH(C282,0)+1))</f>
        <v/>
      </c>
      <c r="D283" s="123"/>
      <c r="E283" s="125" t="str">
        <f>IF($B282="","",IF($B282+1&gt;'Qredits maandlasten'!$C$4,"",F282+1))</f>
        <v/>
      </c>
      <c r="F283" s="125" t="str">
        <f>IF($B282="","",IF($B282+1&gt;'Qredits maandlasten'!$C$4,"",EOMONTH(E283,0)))</f>
        <v/>
      </c>
      <c r="G283" s="126" t="str">
        <f>IF($B282="","",IF($B282+1&gt;'Qredits maandlasten'!$C$4,"",(_xlfn.DAYS(F283,E283)+1)/DAY(F283)))</f>
        <v/>
      </c>
      <c r="H283" s="127"/>
      <c r="I283" s="128" t="str">
        <f>IF($B282="","",IF($B282+1&gt;'Qredits maandlasten'!$C$4,"",I282-J282))</f>
        <v/>
      </c>
      <c r="J283" s="128" t="str">
        <f>IF($B282="","",IF($B282+1&gt;'Qredits maandlasten'!$C$4,"",IF(B282&lt;'Qredits maandlasten'!$C$11-1,0,IF('Qredits maandlasten'!$C$10=dropdowns!$A$121,'Qredits maandlasten'!$J$3,IF('Qredits maandlasten'!$C$10=dropdowns!$A$120,IFERROR('Qredits maandlasten'!$J$3-K283,0),0)))))</f>
        <v/>
      </c>
      <c r="K283" s="128" t="str">
        <f>IF($B282="","",IF($B282+1&gt;'Qredits maandlasten'!$C$4,"",G283*I283*'Qredits maandlasten'!$C$8))</f>
        <v/>
      </c>
      <c r="L283" s="128" t="str">
        <f t="shared" si="22"/>
        <v/>
      </c>
      <c r="M283" s="128" t="str">
        <f t="shared" si="20"/>
        <v/>
      </c>
      <c r="N283" s="127"/>
      <c r="O283" s="129" t="str">
        <f>IF($B283="","",'Qredits maandlasten'!$C$8)</f>
        <v/>
      </c>
      <c r="P283" s="129" t="str">
        <f>IF($B283="","",'Qredits maandlasten'!$C$8*(POWER(1+'Qredits maandlasten'!$C$8,$B283-1+1)))</f>
        <v/>
      </c>
      <c r="Q283" s="129" t="str">
        <f t="shared" si="23"/>
        <v/>
      </c>
      <c r="R283" s="127"/>
      <c r="S283" s="128" t="str">
        <f t="shared" si="21"/>
        <v/>
      </c>
      <c r="T283" s="128" t="str">
        <f>IF(S283="","",J283/(POWER(1+'Qredits maandlasten'!$C$8,$B283-1+1)))</f>
        <v/>
      </c>
      <c r="U283" s="130" t="str">
        <f t="shared" si="24"/>
        <v/>
      </c>
      <c r="V283" s="128" t="str">
        <f>IF($B283="","",K283/(POWER(1+'Qredits maandlasten'!$C$8,$B283-1+1)))</f>
        <v/>
      </c>
      <c r="W283" s="127"/>
    </row>
    <row r="284" spans="1:23" s="132" customFormat="1" x14ac:dyDescent="0.2">
      <c r="A284" s="123"/>
      <c r="B284" s="124" t="str">
        <f>IF($B283="","",IF($B283+1&gt;'Qredits maandlasten'!$C$4,"",Schema!B283+1))</f>
        <v/>
      </c>
      <c r="C284" s="125" t="str">
        <f>IF($B283="","",IF($B283+1&gt;'Qredits maandlasten'!$C$4,"",EOMONTH(C283,0)+1))</f>
        <v/>
      </c>
      <c r="D284" s="123"/>
      <c r="E284" s="125" t="str">
        <f>IF($B283="","",IF($B283+1&gt;'Qredits maandlasten'!$C$4,"",F283+1))</f>
        <v/>
      </c>
      <c r="F284" s="125" t="str">
        <f>IF($B283="","",IF($B283+1&gt;'Qredits maandlasten'!$C$4,"",EOMONTH(E284,0)))</f>
        <v/>
      </c>
      <c r="G284" s="126" t="str">
        <f>IF($B283="","",IF($B283+1&gt;'Qredits maandlasten'!$C$4,"",(_xlfn.DAYS(F284,E284)+1)/DAY(F284)))</f>
        <v/>
      </c>
      <c r="H284" s="127"/>
      <c r="I284" s="128" t="str">
        <f>IF($B283="","",IF($B283+1&gt;'Qredits maandlasten'!$C$4,"",I283-J283))</f>
        <v/>
      </c>
      <c r="J284" s="128" t="str">
        <f>IF($B283="","",IF($B283+1&gt;'Qredits maandlasten'!$C$4,"",IF(B283&lt;'Qredits maandlasten'!$C$11-1,0,IF('Qredits maandlasten'!$C$10=dropdowns!$A$121,'Qredits maandlasten'!$J$3,IF('Qredits maandlasten'!$C$10=dropdowns!$A$120,IFERROR('Qredits maandlasten'!$J$3-K284,0),0)))))</f>
        <v/>
      </c>
      <c r="K284" s="128" t="str">
        <f>IF($B283="","",IF($B283+1&gt;'Qredits maandlasten'!$C$4,"",G284*I284*'Qredits maandlasten'!$C$8))</f>
        <v/>
      </c>
      <c r="L284" s="128" t="str">
        <f t="shared" si="22"/>
        <v/>
      </c>
      <c r="M284" s="128" t="str">
        <f t="shared" si="20"/>
        <v/>
      </c>
      <c r="N284" s="127"/>
      <c r="O284" s="129" t="str">
        <f>IF($B284="","",'Qredits maandlasten'!$C$8)</f>
        <v/>
      </c>
      <c r="P284" s="129" t="str">
        <f>IF($B284="","",'Qredits maandlasten'!$C$8*(POWER(1+'Qredits maandlasten'!$C$8,$B284-1+1)))</f>
        <v/>
      </c>
      <c r="Q284" s="129" t="str">
        <f t="shared" si="23"/>
        <v/>
      </c>
      <c r="R284" s="127"/>
      <c r="S284" s="128" t="str">
        <f t="shared" si="21"/>
        <v/>
      </c>
      <c r="T284" s="128" t="str">
        <f>IF(S284="","",J284/(POWER(1+'Qredits maandlasten'!$C$8,$B284-1+1)))</f>
        <v/>
      </c>
      <c r="U284" s="130" t="str">
        <f t="shared" si="24"/>
        <v/>
      </c>
      <c r="V284" s="128" t="str">
        <f>IF($B284="","",K284/(POWER(1+'Qredits maandlasten'!$C$8,$B284-1+1)))</f>
        <v/>
      </c>
      <c r="W284" s="127"/>
    </row>
    <row r="285" spans="1:23" s="132" customFormat="1" x14ac:dyDescent="0.2">
      <c r="A285" s="123"/>
      <c r="B285" s="124" t="str">
        <f>IF($B284="","",IF($B284+1&gt;'Qredits maandlasten'!$C$4,"",Schema!B284+1))</f>
        <v/>
      </c>
      <c r="C285" s="125" t="str">
        <f>IF($B284="","",IF($B284+1&gt;'Qredits maandlasten'!$C$4,"",EOMONTH(C284,0)+1))</f>
        <v/>
      </c>
      <c r="D285" s="123"/>
      <c r="E285" s="125" t="str">
        <f>IF($B284="","",IF($B284+1&gt;'Qredits maandlasten'!$C$4,"",F284+1))</f>
        <v/>
      </c>
      <c r="F285" s="125" t="str">
        <f>IF($B284="","",IF($B284+1&gt;'Qredits maandlasten'!$C$4,"",EOMONTH(E285,0)))</f>
        <v/>
      </c>
      <c r="G285" s="126" t="str">
        <f>IF($B284="","",IF($B284+1&gt;'Qredits maandlasten'!$C$4,"",(_xlfn.DAYS(F285,E285)+1)/DAY(F285)))</f>
        <v/>
      </c>
      <c r="H285" s="127"/>
      <c r="I285" s="128" t="str">
        <f>IF($B284="","",IF($B284+1&gt;'Qredits maandlasten'!$C$4,"",I284-J284))</f>
        <v/>
      </c>
      <c r="J285" s="128" t="str">
        <f>IF($B284="","",IF($B284+1&gt;'Qredits maandlasten'!$C$4,"",IF(B284&lt;'Qredits maandlasten'!$C$11-1,0,IF('Qredits maandlasten'!$C$10=dropdowns!$A$121,'Qredits maandlasten'!$J$3,IF('Qredits maandlasten'!$C$10=dropdowns!$A$120,IFERROR('Qredits maandlasten'!$J$3-K285,0),0)))))</f>
        <v/>
      </c>
      <c r="K285" s="128" t="str">
        <f>IF($B284="","",IF($B284+1&gt;'Qredits maandlasten'!$C$4,"",G285*I285*'Qredits maandlasten'!$C$8))</f>
        <v/>
      </c>
      <c r="L285" s="128" t="str">
        <f t="shared" si="22"/>
        <v/>
      </c>
      <c r="M285" s="128" t="str">
        <f t="shared" si="20"/>
        <v/>
      </c>
      <c r="N285" s="127"/>
      <c r="O285" s="129" t="str">
        <f>IF($B285="","",'Qredits maandlasten'!$C$8)</f>
        <v/>
      </c>
      <c r="P285" s="129" t="str">
        <f>IF($B285="","",'Qredits maandlasten'!$C$8*(POWER(1+'Qredits maandlasten'!$C$8,$B285-1+1)))</f>
        <v/>
      </c>
      <c r="Q285" s="129" t="str">
        <f t="shared" si="23"/>
        <v/>
      </c>
      <c r="R285" s="127"/>
      <c r="S285" s="128" t="str">
        <f t="shared" si="21"/>
        <v/>
      </c>
      <c r="T285" s="128" t="str">
        <f>IF(S285="","",J285/(POWER(1+'Qredits maandlasten'!$C$8,$B285-1+1)))</f>
        <v/>
      </c>
      <c r="U285" s="130" t="str">
        <f t="shared" si="24"/>
        <v/>
      </c>
      <c r="V285" s="128" t="str">
        <f>IF($B285="","",K285/(POWER(1+'Qredits maandlasten'!$C$8,$B285-1+1)))</f>
        <v/>
      </c>
      <c r="W285" s="127"/>
    </row>
    <row r="286" spans="1:23" s="132" customFormat="1" x14ac:dyDescent="0.2">
      <c r="A286" s="123"/>
      <c r="B286" s="124" t="str">
        <f>IF($B285="","",IF($B285+1&gt;'Qredits maandlasten'!$C$4,"",Schema!B285+1))</f>
        <v/>
      </c>
      <c r="C286" s="125" t="str">
        <f>IF($B285="","",IF($B285+1&gt;'Qredits maandlasten'!$C$4,"",EOMONTH(C285,0)+1))</f>
        <v/>
      </c>
      <c r="D286" s="123"/>
      <c r="E286" s="125" t="str">
        <f>IF($B285="","",IF($B285+1&gt;'Qredits maandlasten'!$C$4,"",F285+1))</f>
        <v/>
      </c>
      <c r="F286" s="125" t="str">
        <f>IF($B285="","",IF($B285+1&gt;'Qredits maandlasten'!$C$4,"",EOMONTH(E286,0)))</f>
        <v/>
      </c>
      <c r="G286" s="126" t="str">
        <f>IF($B285="","",IF($B285+1&gt;'Qredits maandlasten'!$C$4,"",(_xlfn.DAYS(F286,E286)+1)/DAY(F286)))</f>
        <v/>
      </c>
      <c r="H286" s="127"/>
      <c r="I286" s="128" t="str">
        <f>IF($B285="","",IF($B285+1&gt;'Qredits maandlasten'!$C$4,"",I285-J285))</f>
        <v/>
      </c>
      <c r="J286" s="128" t="str">
        <f>IF($B285="","",IF($B285+1&gt;'Qredits maandlasten'!$C$4,"",IF(B285&lt;'Qredits maandlasten'!$C$11-1,0,IF('Qredits maandlasten'!$C$10=dropdowns!$A$121,'Qredits maandlasten'!$J$3,IF('Qredits maandlasten'!$C$10=dropdowns!$A$120,IFERROR('Qredits maandlasten'!$J$3-K286,0),0)))))</f>
        <v/>
      </c>
      <c r="K286" s="128" t="str">
        <f>IF($B285="","",IF($B285+1&gt;'Qredits maandlasten'!$C$4,"",G286*I286*'Qredits maandlasten'!$C$8))</f>
        <v/>
      </c>
      <c r="L286" s="128" t="str">
        <f t="shared" si="22"/>
        <v/>
      </c>
      <c r="M286" s="128" t="str">
        <f t="shared" si="20"/>
        <v/>
      </c>
      <c r="N286" s="127"/>
      <c r="O286" s="129" t="str">
        <f>IF($B286="","",'Qredits maandlasten'!$C$8)</f>
        <v/>
      </c>
      <c r="P286" s="129" t="str">
        <f>IF($B286="","",'Qredits maandlasten'!$C$8*(POWER(1+'Qredits maandlasten'!$C$8,$B286-1+1)))</f>
        <v/>
      </c>
      <c r="Q286" s="129" t="str">
        <f t="shared" si="23"/>
        <v/>
      </c>
      <c r="R286" s="127"/>
      <c r="S286" s="128" t="str">
        <f t="shared" si="21"/>
        <v/>
      </c>
      <c r="T286" s="128" t="str">
        <f>IF(S286="","",J286/(POWER(1+'Qredits maandlasten'!$C$8,$B286-1+1)))</f>
        <v/>
      </c>
      <c r="U286" s="130" t="str">
        <f t="shared" si="24"/>
        <v/>
      </c>
      <c r="V286" s="128" t="str">
        <f>IF($B286="","",K286/(POWER(1+'Qredits maandlasten'!$C$8,$B286-1+1)))</f>
        <v/>
      </c>
      <c r="W286" s="127"/>
    </row>
    <row r="287" spans="1:23" s="132" customFormat="1" x14ac:dyDescent="0.2">
      <c r="A287" s="123"/>
      <c r="B287" s="124" t="str">
        <f>IF($B286="","",IF($B286+1&gt;'Qredits maandlasten'!$C$4,"",Schema!B286+1))</f>
        <v/>
      </c>
      <c r="C287" s="125" t="str">
        <f>IF($B286="","",IF($B286+1&gt;'Qredits maandlasten'!$C$4,"",EOMONTH(C286,0)+1))</f>
        <v/>
      </c>
      <c r="D287" s="123"/>
      <c r="E287" s="125" t="str">
        <f>IF($B286="","",IF($B286+1&gt;'Qredits maandlasten'!$C$4,"",F286+1))</f>
        <v/>
      </c>
      <c r="F287" s="125" t="str">
        <f>IF($B286="","",IF($B286+1&gt;'Qredits maandlasten'!$C$4,"",EOMONTH(E287,0)))</f>
        <v/>
      </c>
      <c r="G287" s="126" t="str">
        <f>IF($B286="","",IF($B286+1&gt;'Qredits maandlasten'!$C$4,"",(_xlfn.DAYS(F287,E287)+1)/DAY(F287)))</f>
        <v/>
      </c>
      <c r="H287" s="127"/>
      <c r="I287" s="128" t="str">
        <f>IF($B286="","",IF($B286+1&gt;'Qredits maandlasten'!$C$4,"",I286-J286))</f>
        <v/>
      </c>
      <c r="J287" s="128" t="str">
        <f>IF($B286="","",IF($B286+1&gt;'Qredits maandlasten'!$C$4,"",IF(B286&lt;'Qredits maandlasten'!$C$11-1,0,IF('Qredits maandlasten'!$C$10=dropdowns!$A$121,'Qredits maandlasten'!$J$3,IF('Qredits maandlasten'!$C$10=dropdowns!$A$120,IFERROR('Qredits maandlasten'!$J$3-K287,0),0)))))</f>
        <v/>
      </c>
      <c r="K287" s="128" t="str">
        <f>IF($B286="","",IF($B286+1&gt;'Qredits maandlasten'!$C$4,"",G287*I287*'Qredits maandlasten'!$C$8))</f>
        <v/>
      </c>
      <c r="L287" s="128" t="str">
        <f t="shared" si="22"/>
        <v/>
      </c>
      <c r="M287" s="128" t="str">
        <f t="shared" si="20"/>
        <v/>
      </c>
      <c r="N287" s="127"/>
      <c r="O287" s="129" t="str">
        <f>IF($B287="","",'Qredits maandlasten'!$C$8)</f>
        <v/>
      </c>
      <c r="P287" s="129" t="str">
        <f>IF($B287="","",'Qredits maandlasten'!$C$8*(POWER(1+'Qredits maandlasten'!$C$8,$B287-1+1)))</f>
        <v/>
      </c>
      <c r="Q287" s="129" t="str">
        <f t="shared" si="23"/>
        <v/>
      </c>
      <c r="R287" s="127"/>
      <c r="S287" s="128" t="str">
        <f t="shared" si="21"/>
        <v/>
      </c>
      <c r="T287" s="128" t="str">
        <f>IF(S287="","",J287/(POWER(1+'Qredits maandlasten'!$C$8,$B287-1+1)))</f>
        <v/>
      </c>
      <c r="U287" s="130" t="str">
        <f t="shared" si="24"/>
        <v/>
      </c>
      <c r="V287" s="128" t="str">
        <f>IF($B287="","",K287/(POWER(1+'Qredits maandlasten'!$C$8,$B287-1+1)))</f>
        <v/>
      </c>
      <c r="W287" s="127"/>
    </row>
    <row r="288" spans="1:23" s="132" customFormat="1" x14ac:dyDescent="0.2">
      <c r="A288" s="123"/>
      <c r="B288" s="124" t="str">
        <f>IF($B287="","",IF($B287+1&gt;'Qredits maandlasten'!$C$4,"",Schema!B287+1))</f>
        <v/>
      </c>
      <c r="C288" s="125" t="str">
        <f>IF($B287="","",IF($B287+1&gt;'Qredits maandlasten'!$C$4,"",EOMONTH(C287,0)+1))</f>
        <v/>
      </c>
      <c r="D288" s="123"/>
      <c r="E288" s="125" t="str">
        <f>IF($B287="","",IF($B287+1&gt;'Qredits maandlasten'!$C$4,"",F287+1))</f>
        <v/>
      </c>
      <c r="F288" s="125" t="str">
        <f>IF($B287="","",IF($B287+1&gt;'Qredits maandlasten'!$C$4,"",EOMONTH(E288,0)))</f>
        <v/>
      </c>
      <c r="G288" s="126" t="str">
        <f>IF($B287="","",IF($B287+1&gt;'Qredits maandlasten'!$C$4,"",(_xlfn.DAYS(F288,E288)+1)/DAY(F288)))</f>
        <v/>
      </c>
      <c r="H288" s="127"/>
      <c r="I288" s="128" t="str">
        <f>IF($B287="","",IF($B287+1&gt;'Qredits maandlasten'!$C$4,"",I287-J287))</f>
        <v/>
      </c>
      <c r="J288" s="128" t="str">
        <f>IF($B287="","",IF($B287+1&gt;'Qredits maandlasten'!$C$4,"",IF(B287&lt;'Qredits maandlasten'!$C$11-1,0,IF('Qredits maandlasten'!$C$10=dropdowns!$A$121,'Qredits maandlasten'!$J$3,IF('Qredits maandlasten'!$C$10=dropdowns!$A$120,IFERROR('Qredits maandlasten'!$J$3-K288,0),0)))))</f>
        <v/>
      </c>
      <c r="K288" s="128" t="str">
        <f>IF($B287="","",IF($B287+1&gt;'Qredits maandlasten'!$C$4,"",G288*I288*'Qredits maandlasten'!$C$8))</f>
        <v/>
      </c>
      <c r="L288" s="128" t="str">
        <f t="shared" si="22"/>
        <v/>
      </c>
      <c r="M288" s="128" t="str">
        <f t="shared" si="20"/>
        <v/>
      </c>
      <c r="N288" s="127"/>
      <c r="O288" s="129" t="str">
        <f>IF($B288="","",'Qredits maandlasten'!$C$8)</f>
        <v/>
      </c>
      <c r="P288" s="129" t="str">
        <f>IF($B288="","",'Qredits maandlasten'!$C$8*(POWER(1+'Qredits maandlasten'!$C$8,$B288-1+1)))</f>
        <v/>
      </c>
      <c r="Q288" s="129" t="str">
        <f t="shared" si="23"/>
        <v/>
      </c>
      <c r="R288" s="127"/>
      <c r="S288" s="128" t="str">
        <f t="shared" si="21"/>
        <v/>
      </c>
      <c r="T288" s="128" t="str">
        <f>IF(S288="","",J288/(POWER(1+'Qredits maandlasten'!$C$8,$B288-1+1)))</f>
        <v/>
      </c>
      <c r="U288" s="130" t="str">
        <f t="shared" si="24"/>
        <v/>
      </c>
      <c r="V288" s="128" t="str">
        <f>IF($B288="","",K288/(POWER(1+'Qredits maandlasten'!$C$8,$B288-1+1)))</f>
        <v/>
      </c>
      <c r="W288" s="127"/>
    </row>
    <row r="289" spans="1:23" s="132" customFormat="1" x14ac:dyDescent="0.2">
      <c r="A289" s="123"/>
      <c r="B289" s="124" t="str">
        <f>IF($B288="","",IF($B288+1&gt;'Qredits maandlasten'!$C$4,"",Schema!B288+1))</f>
        <v/>
      </c>
      <c r="C289" s="125" t="str">
        <f>IF($B288="","",IF($B288+1&gt;'Qredits maandlasten'!$C$4,"",EOMONTH(C288,0)+1))</f>
        <v/>
      </c>
      <c r="D289" s="123"/>
      <c r="E289" s="125" t="str">
        <f>IF($B288="","",IF($B288+1&gt;'Qredits maandlasten'!$C$4,"",F288+1))</f>
        <v/>
      </c>
      <c r="F289" s="125" t="str">
        <f>IF($B288="","",IF($B288+1&gt;'Qredits maandlasten'!$C$4,"",EOMONTH(E289,0)))</f>
        <v/>
      </c>
      <c r="G289" s="126" t="str">
        <f>IF($B288="","",IF($B288+1&gt;'Qredits maandlasten'!$C$4,"",(_xlfn.DAYS(F289,E289)+1)/DAY(F289)))</f>
        <v/>
      </c>
      <c r="H289" s="127"/>
      <c r="I289" s="128" t="str">
        <f>IF($B288="","",IF($B288+1&gt;'Qredits maandlasten'!$C$4,"",I288-J288))</f>
        <v/>
      </c>
      <c r="J289" s="128" t="str">
        <f>IF($B288="","",IF($B288+1&gt;'Qredits maandlasten'!$C$4,"",IF(B288&lt;'Qredits maandlasten'!$C$11-1,0,IF('Qredits maandlasten'!$C$10=dropdowns!$A$121,'Qredits maandlasten'!$J$3,IF('Qredits maandlasten'!$C$10=dropdowns!$A$120,IFERROR('Qredits maandlasten'!$J$3-K289,0),0)))))</f>
        <v/>
      </c>
      <c r="K289" s="128" t="str">
        <f>IF($B288="","",IF($B288+1&gt;'Qredits maandlasten'!$C$4,"",G289*I289*'Qredits maandlasten'!$C$8))</f>
        <v/>
      </c>
      <c r="L289" s="128" t="str">
        <f t="shared" si="22"/>
        <v/>
      </c>
      <c r="M289" s="128" t="str">
        <f t="shared" si="20"/>
        <v/>
      </c>
      <c r="N289" s="127"/>
      <c r="O289" s="129" t="str">
        <f>IF($B289="","",'Qredits maandlasten'!$C$8)</f>
        <v/>
      </c>
      <c r="P289" s="129" t="str">
        <f>IF($B289="","",'Qredits maandlasten'!$C$8*(POWER(1+'Qredits maandlasten'!$C$8,$B289-1+1)))</f>
        <v/>
      </c>
      <c r="Q289" s="129" t="str">
        <f t="shared" si="23"/>
        <v/>
      </c>
      <c r="R289" s="127"/>
      <c r="S289" s="128" t="str">
        <f t="shared" si="21"/>
        <v/>
      </c>
      <c r="T289" s="128" t="str">
        <f>IF(S289="","",J289/(POWER(1+'Qredits maandlasten'!$C$8,$B289-1+1)))</f>
        <v/>
      </c>
      <c r="U289" s="130" t="str">
        <f t="shared" si="24"/>
        <v/>
      </c>
      <c r="V289" s="128" t="str">
        <f>IF($B289="","",K289/(POWER(1+'Qredits maandlasten'!$C$8,$B289-1+1)))</f>
        <v/>
      </c>
      <c r="W289" s="127"/>
    </row>
    <row r="290" spans="1:23" s="132" customFormat="1" x14ac:dyDescent="0.2">
      <c r="A290" s="123"/>
      <c r="B290" s="124" t="str">
        <f>IF($B289="","",IF($B289+1&gt;'Qredits maandlasten'!$C$4,"",Schema!B289+1))</f>
        <v/>
      </c>
      <c r="C290" s="125" t="str">
        <f>IF($B289="","",IF($B289+1&gt;'Qredits maandlasten'!$C$4,"",EOMONTH(C289,0)+1))</f>
        <v/>
      </c>
      <c r="D290" s="123"/>
      <c r="E290" s="125" t="str">
        <f>IF($B289="","",IF($B289+1&gt;'Qredits maandlasten'!$C$4,"",F289+1))</f>
        <v/>
      </c>
      <c r="F290" s="125" t="str">
        <f>IF($B289="","",IF($B289+1&gt;'Qredits maandlasten'!$C$4,"",EOMONTH(E290,0)))</f>
        <v/>
      </c>
      <c r="G290" s="126" t="str">
        <f>IF($B289="","",IF($B289+1&gt;'Qredits maandlasten'!$C$4,"",(_xlfn.DAYS(F290,E290)+1)/DAY(F290)))</f>
        <v/>
      </c>
      <c r="H290" s="127"/>
      <c r="I290" s="128" t="str">
        <f>IF($B289="","",IF($B289+1&gt;'Qredits maandlasten'!$C$4,"",I289-J289))</f>
        <v/>
      </c>
      <c r="J290" s="128" t="str">
        <f>IF($B289="","",IF($B289+1&gt;'Qredits maandlasten'!$C$4,"",IF(B289&lt;'Qredits maandlasten'!$C$11-1,0,IF('Qredits maandlasten'!$C$10=dropdowns!$A$121,'Qredits maandlasten'!$J$3,IF('Qredits maandlasten'!$C$10=dropdowns!$A$120,IFERROR('Qredits maandlasten'!$J$3-K290,0),0)))))</f>
        <v/>
      </c>
      <c r="K290" s="128" t="str">
        <f>IF($B289="","",IF($B289+1&gt;'Qredits maandlasten'!$C$4,"",G290*I290*'Qredits maandlasten'!$C$8))</f>
        <v/>
      </c>
      <c r="L290" s="128" t="str">
        <f t="shared" si="22"/>
        <v/>
      </c>
      <c r="M290" s="128" t="str">
        <f t="shared" si="20"/>
        <v/>
      </c>
      <c r="N290" s="127"/>
      <c r="O290" s="129" t="str">
        <f>IF($B290="","",'Qredits maandlasten'!$C$8)</f>
        <v/>
      </c>
      <c r="P290" s="129" t="str">
        <f>IF($B290="","",'Qredits maandlasten'!$C$8*(POWER(1+'Qredits maandlasten'!$C$8,$B290-1+1)))</f>
        <v/>
      </c>
      <c r="Q290" s="129" t="str">
        <f t="shared" si="23"/>
        <v/>
      </c>
      <c r="R290" s="127"/>
      <c r="S290" s="128" t="str">
        <f t="shared" si="21"/>
        <v/>
      </c>
      <c r="T290" s="128" t="str">
        <f>IF(S290="","",J290/(POWER(1+'Qredits maandlasten'!$C$8,$B290-1+1)))</f>
        <v/>
      </c>
      <c r="U290" s="130" t="str">
        <f t="shared" si="24"/>
        <v/>
      </c>
      <c r="V290" s="128" t="str">
        <f>IF($B290="","",K290/(POWER(1+'Qredits maandlasten'!$C$8,$B290-1+1)))</f>
        <v/>
      </c>
      <c r="W290" s="127"/>
    </row>
    <row r="291" spans="1:23" s="132" customFormat="1" x14ac:dyDescent="0.2">
      <c r="A291" s="123"/>
      <c r="B291" s="124" t="str">
        <f>IF($B290="","",IF($B290+1&gt;'Qredits maandlasten'!$C$4,"",Schema!B290+1))</f>
        <v/>
      </c>
      <c r="C291" s="125" t="str">
        <f>IF($B290="","",IF($B290+1&gt;'Qredits maandlasten'!$C$4,"",EOMONTH(C290,0)+1))</f>
        <v/>
      </c>
      <c r="D291" s="123"/>
      <c r="E291" s="125" t="str">
        <f>IF($B290="","",IF($B290+1&gt;'Qredits maandlasten'!$C$4,"",F290+1))</f>
        <v/>
      </c>
      <c r="F291" s="125" t="str">
        <f>IF($B290="","",IF($B290+1&gt;'Qredits maandlasten'!$C$4,"",EOMONTH(E291,0)))</f>
        <v/>
      </c>
      <c r="G291" s="126" t="str">
        <f>IF($B290="","",IF($B290+1&gt;'Qredits maandlasten'!$C$4,"",(_xlfn.DAYS(F291,E291)+1)/DAY(F291)))</f>
        <v/>
      </c>
      <c r="H291" s="127"/>
      <c r="I291" s="128" t="str">
        <f>IF($B290="","",IF($B290+1&gt;'Qredits maandlasten'!$C$4,"",I290-J290))</f>
        <v/>
      </c>
      <c r="J291" s="128" t="str">
        <f>IF($B290="","",IF($B290+1&gt;'Qredits maandlasten'!$C$4,"",IF(B290&lt;'Qredits maandlasten'!$C$11-1,0,IF('Qredits maandlasten'!$C$10=dropdowns!$A$121,'Qredits maandlasten'!$J$3,IF('Qredits maandlasten'!$C$10=dropdowns!$A$120,IFERROR('Qredits maandlasten'!$J$3-K291,0),0)))))</f>
        <v/>
      </c>
      <c r="K291" s="128" t="str">
        <f>IF($B290="","",IF($B290+1&gt;'Qredits maandlasten'!$C$4,"",G291*I291*'Qredits maandlasten'!$C$8))</f>
        <v/>
      </c>
      <c r="L291" s="128" t="str">
        <f t="shared" si="22"/>
        <v/>
      </c>
      <c r="M291" s="128" t="str">
        <f t="shared" si="20"/>
        <v/>
      </c>
      <c r="N291" s="127"/>
      <c r="O291" s="129" t="str">
        <f>IF($B291="","",'Qredits maandlasten'!$C$8)</f>
        <v/>
      </c>
      <c r="P291" s="129" t="str">
        <f>IF($B291="","",'Qredits maandlasten'!$C$8*(POWER(1+'Qredits maandlasten'!$C$8,$B291-1+1)))</f>
        <v/>
      </c>
      <c r="Q291" s="129" t="str">
        <f t="shared" si="23"/>
        <v/>
      </c>
      <c r="R291" s="127"/>
      <c r="S291" s="128" t="str">
        <f t="shared" si="21"/>
        <v/>
      </c>
      <c r="T291" s="128" t="str">
        <f>IF(S291="","",J291/(POWER(1+'Qredits maandlasten'!$C$8,$B291-1+1)))</f>
        <v/>
      </c>
      <c r="U291" s="130" t="str">
        <f t="shared" si="24"/>
        <v/>
      </c>
      <c r="V291" s="128" t="str">
        <f>IF($B291="","",K291/(POWER(1+'Qredits maandlasten'!$C$8,$B291-1+1)))</f>
        <v/>
      </c>
      <c r="W291" s="127"/>
    </row>
    <row r="292" spans="1:23" s="132" customFormat="1" x14ac:dyDescent="0.2">
      <c r="A292" s="123"/>
      <c r="B292" s="124" t="str">
        <f>IF($B291="","",IF($B291+1&gt;'Qredits maandlasten'!$C$4,"",Schema!B291+1))</f>
        <v/>
      </c>
      <c r="C292" s="125" t="str">
        <f>IF($B291="","",IF($B291+1&gt;'Qredits maandlasten'!$C$4,"",EOMONTH(C291,0)+1))</f>
        <v/>
      </c>
      <c r="D292" s="123"/>
      <c r="E292" s="125" t="str">
        <f>IF($B291="","",IF($B291+1&gt;'Qredits maandlasten'!$C$4,"",F291+1))</f>
        <v/>
      </c>
      <c r="F292" s="125" t="str">
        <f>IF($B291="","",IF($B291+1&gt;'Qredits maandlasten'!$C$4,"",EOMONTH(E292,0)))</f>
        <v/>
      </c>
      <c r="G292" s="126" t="str">
        <f>IF($B291="","",IF($B291+1&gt;'Qredits maandlasten'!$C$4,"",(_xlfn.DAYS(F292,E292)+1)/DAY(F292)))</f>
        <v/>
      </c>
      <c r="H292" s="127"/>
      <c r="I292" s="128" t="str">
        <f>IF($B291="","",IF($B291+1&gt;'Qredits maandlasten'!$C$4,"",I291-J291))</f>
        <v/>
      </c>
      <c r="J292" s="128" t="str">
        <f>IF($B291="","",IF($B291+1&gt;'Qredits maandlasten'!$C$4,"",IF(B291&lt;'Qredits maandlasten'!$C$11-1,0,IF('Qredits maandlasten'!$C$10=dropdowns!$A$121,'Qredits maandlasten'!$J$3,IF('Qredits maandlasten'!$C$10=dropdowns!$A$120,IFERROR('Qredits maandlasten'!$J$3-K292,0),0)))))</f>
        <v/>
      </c>
      <c r="K292" s="128" t="str">
        <f>IF($B291="","",IF($B291+1&gt;'Qredits maandlasten'!$C$4,"",G292*I292*'Qredits maandlasten'!$C$8))</f>
        <v/>
      </c>
      <c r="L292" s="128" t="str">
        <f t="shared" si="22"/>
        <v/>
      </c>
      <c r="M292" s="128" t="str">
        <f t="shared" si="20"/>
        <v/>
      </c>
      <c r="N292" s="127"/>
      <c r="O292" s="129" t="str">
        <f>IF($B292="","",'Qredits maandlasten'!$C$8)</f>
        <v/>
      </c>
      <c r="P292" s="129" t="str">
        <f>IF($B292="","",'Qredits maandlasten'!$C$8*(POWER(1+'Qredits maandlasten'!$C$8,$B292-1+1)))</f>
        <v/>
      </c>
      <c r="Q292" s="129" t="str">
        <f t="shared" si="23"/>
        <v/>
      </c>
      <c r="R292" s="127"/>
      <c r="S292" s="128" t="str">
        <f t="shared" si="21"/>
        <v/>
      </c>
      <c r="T292" s="128" t="str">
        <f>IF(S292="","",J292/(POWER(1+'Qredits maandlasten'!$C$8,$B292-1+1)))</f>
        <v/>
      </c>
      <c r="U292" s="130" t="str">
        <f t="shared" si="24"/>
        <v/>
      </c>
      <c r="V292" s="128" t="str">
        <f>IF($B292="","",K292/(POWER(1+'Qredits maandlasten'!$C$8,$B292-1+1)))</f>
        <v/>
      </c>
      <c r="W292" s="127"/>
    </row>
    <row r="293" spans="1:23" s="132" customFormat="1" x14ac:dyDescent="0.2">
      <c r="A293" s="123"/>
      <c r="B293" s="124" t="str">
        <f>IF($B292="","",IF($B292+1&gt;'Qredits maandlasten'!$C$4,"",Schema!B292+1))</f>
        <v/>
      </c>
      <c r="C293" s="125" t="str">
        <f>IF($B292="","",IF($B292+1&gt;'Qredits maandlasten'!$C$4,"",EOMONTH(C292,0)+1))</f>
        <v/>
      </c>
      <c r="D293" s="123"/>
      <c r="E293" s="125" t="str">
        <f>IF($B292="","",IF($B292+1&gt;'Qredits maandlasten'!$C$4,"",F292+1))</f>
        <v/>
      </c>
      <c r="F293" s="125" t="str">
        <f>IF($B292="","",IF($B292+1&gt;'Qredits maandlasten'!$C$4,"",EOMONTH(E293,0)))</f>
        <v/>
      </c>
      <c r="G293" s="126" t="str">
        <f>IF($B292="","",IF($B292+1&gt;'Qredits maandlasten'!$C$4,"",(_xlfn.DAYS(F293,E293)+1)/DAY(F293)))</f>
        <v/>
      </c>
      <c r="H293" s="127"/>
      <c r="I293" s="128" t="str">
        <f>IF($B292="","",IF($B292+1&gt;'Qredits maandlasten'!$C$4,"",I292-J292))</f>
        <v/>
      </c>
      <c r="J293" s="128" t="str">
        <f>IF($B292="","",IF($B292+1&gt;'Qredits maandlasten'!$C$4,"",IF(B292&lt;'Qredits maandlasten'!$C$11-1,0,IF('Qredits maandlasten'!$C$10=dropdowns!$A$121,'Qredits maandlasten'!$J$3,IF('Qredits maandlasten'!$C$10=dropdowns!$A$120,IFERROR('Qredits maandlasten'!$J$3-K293,0),0)))))</f>
        <v/>
      </c>
      <c r="K293" s="128" t="str">
        <f>IF($B292="","",IF($B292+1&gt;'Qredits maandlasten'!$C$4,"",G293*I293*'Qredits maandlasten'!$C$8))</f>
        <v/>
      </c>
      <c r="L293" s="128" t="str">
        <f t="shared" si="22"/>
        <v/>
      </c>
      <c r="M293" s="128" t="str">
        <f t="shared" si="20"/>
        <v/>
      </c>
      <c r="N293" s="127"/>
      <c r="O293" s="129" t="str">
        <f>IF($B293="","",'Qredits maandlasten'!$C$8)</f>
        <v/>
      </c>
      <c r="P293" s="129" t="str">
        <f>IF($B293="","",'Qredits maandlasten'!$C$8*(POWER(1+'Qredits maandlasten'!$C$8,$B293-1+1)))</f>
        <v/>
      </c>
      <c r="Q293" s="129" t="str">
        <f t="shared" si="23"/>
        <v/>
      </c>
      <c r="R293" s="127"/>
      <c r="S293" s="128" t="str">
        <f t="shared" si="21"/>
        <v/>
      </c>
      <c r="T293" s="128" t="str">
        <f>IF(S293="","",J293/(POWER(1+'Qredits maandlasten'!$C$8,$B293-1+1)))</f>
        <v/>
      </c>
      <c r="U293" s="130" t="str">
        <f t="shared" si="24"/>
        <v/>
      </c>
      <c r="V293" s="128" t="str">
        <f>IF($B293="","",K293/(POWER(1+'Qredits maandlasten'!$C$8,$B293-1+1)))</f>
        <v/>
      </c>
      <c r="W293" s="127"/>
    </row>
    <row r="294" spans="1:23" s="132" customFormat="1" x14ac:dyDescent="0.2">
      <c r="A294" s="123"/>
      <c r="B294" s="124" t="str">
        <f>IF($B293="","",IF($B293+1&gt;'Qredits maandlasten'!$C$4,"",Schema!B293+1))</f>
        <v/>
      </c>
      <c r="C294" s="125" t="str">
        <f>IF($B293="","",IF($B293+1&gt;'Qredits maandlasten'!$C$4,"",EOMONTH(C293,0)+1))</f>
        <v/>
      </c>
      <c r="D294" s="123"/>
      <c r="E294" s="125" t="str">
        <f>IF($B293="","",IF($B293+1&gt;'Qredits maandlasten'!$C$4,"",F293+1))</f>
        <v/>
      </c>
      <c r="F294" s="125" t="str">
        <f>IF($B293="","",IF($B293+1&gt;'Qredits maandlasten'!$C$4,"",EOMONTH(E294,0)))</f>
        <v/>
      </c>
      <c r="G294" s="126" t="str">
        <f>IF($B293="","",IF($B293+1&gt;'Qredits maandlasten'!$C$4,"",(_xlfn.DAYS(F294,E294)+1)/DAY(F294)))</f>
        <v/>
      </c>
      <c r="H294" s="127"/>
      <c r="I294" s="128" t="str">
        <f>IF($B293="","",IF($B293+1&gt;'Qredits maandlasten'!$C$4,"",I293-J293))</f>
        <v/>
      </c>
      <c r="J294" s="128" t="str">
        <f>IF($B293="","",IF($B293+1&gt;'Qredits maandlasten'!$C$4,"",IF(B293&lt;'Qredits maandlasten'!$C$11-1,0,IF('Qredits maandlasten'!$C$10=dropdowns!$A$121,'Qredits maandlasten'!$J$3,IF('Qredits maandlasten'!$C$10=dropdowns!$A$120,IFERROR('Qredits maandlasten'!$J$3-K294,0),0)))))</f>
        <v/>
      </c>
      <c r="K294" s="128" t="str">
        <f>IF($B293="","",IF($B293+1&gt;'Qredits maandlasten'!$C$4,"",G294*I294*'Qredits maandlasten'!$C$8))</f>
        <v/>
      </c>
      <c r="L294" s="128" t="str">
        <f t="shared" si="22"/>
        <v/>
      </c>
      <c r="M294" s="128" t="str">
        <f t="shared" si="20"/>
        <v/>
      </c>
      <c r="N294" s="127"/>
      <c r="O294" s="129" t="str">
        <f>IF($B294="","",'Qredits maandlasten'!$C$8)</f>
        <v/>
      </c>
      <c r="P294" s="129" t="str">
        <f>IF($B294="","",'Qredits maandlasten'!$C$8*(POWER(1+'Qredits maandlasten'!$C$8,$B294-1+1)))</f>
        <v/>
      </c>
      <c r="Q294" s="129" t="str">
        <f t="shared" si="23"/>
        <v/>
      </c>
      <c r="R294" s="127"/>
      <c r="S294" s="128" t="str">
        <f t="shared" si="21"/>
        <v/>
      </c>
      <c r="T294" s="128" t="str">
        <f>IF(S294="","",J294/(POWER(1+'Qredits maandlasten'!$C$8,$B294-1+1)))</f>
        <v/>
      </c>
      <c r="U294" s="130" t="str">
        <f t="shared" si="24"/>
        <v/>
      </c>
      <c r="V294" s="128" t="str">
        <f>IF($B294="","",K294/(POWER(1+'Qredits maandlasten'!$C$8,$B294-1+1)))</f>
        <v/>
      </c>
      <c r="W294" s="127"/>
    </row>
    <row r="295" spans="1:23" s="132" customFormat="1" x14ac:dyDescent="0.2">
      <c r="A295" s="123"/>
      <c r="B295" s="124" t="str">
        <f>IF($B294="","",IF($B294+1&gt;'Qredits maandlasten'!$C$4,"",Schema!B294+1))</f>
        <v/>
      </c>
      <c r="C295" s="125" t="str">
        <f>IF($B294="","",IF($B294+1&gt;'Qredits maandlasten'!$C$4,"",EOMONTH(C294,0)+1))</f>
        <v/>
      </c>
      <c r="D295" s="123"/>
      <c r="E295" s="125" t="str">
        <f>IF($B294="","",IF($B294+1&gt;'Qredits maandlasten'!$C$4,"",F294+1))</f>
        <v/>
      </c>
      <c r="F295" s="125" t="str">
        <f>IF($B294="","",IF($B294+1&gt;'Qredits maandlasten'!$C$4,"",EOMONTH(E295,0)))</f>
        <v/>
      </c>
      <c r="G295" s="126" t="str">
        <f>IF($B294="","",IF($B294+1&gt;'Qredits maandlasten'!$C$4,"",(_xlfn.DAYS(F295,E295)+1)/DAY(F295)))</f>
        <v/>
      </c>
      <c r="H295" s="127"/>
      <c r="I295" s="128" t="str">
        <f>IF($B294="","",IF($B294+1&gt;'Qredits maandlasten'!$C$4,"",I294-J294))</f>
        <v/>
      </c>
      <c r="J295" s="128" t="str">
        <f>IF($B294="","",IF($B294+1&gt;'Qredits maandlasten'!$C$4,"",IF(B294&lt;'Qredits maandlasten'!$C$11-1,0,IF('Qredits maandlasten'!$C$10=dropdowns!$A$121,'Qredits maandlasten'!$J$3,IF('Qredits maandlasten'!$C$10=dropdowns!$A$120,IFERROR('Qredits maandlasten'!$J$3-K295,0),0)))))</f>
        <v/>
      </c>
      <c r="K295" s="128" t="str">
        <f>IF($B294="","",IF($B294+1&gt;'Qredits maandlasten'!$C$4,"",G295*I295*'Qredits maandlasten'!$C$8))</f>
        <v/>
      </c>
      <c r="L295" s="128" t="str">
        <f t="shared" si="22"/>
        <v/>
      </c>
      <c r="M295" s="128" t="str">
        <f t="shared" si="20"/>
        <v/>
      </c>
      <c r="N295" s="127"/>
      <c r="O295" s="129" t="str">
        <f>IF($B295="","",'Qredits maandlasten'!$C$8)</f>
        <v/>
      </c>
      <c r="P295" s="129" t="str">
        <f>IF($B295="","",'Qredits maandlasten'!$C$8*(POWER(1+'Qredits maandlasten'!$C$8,$B295-1+1)))</f>
        <v/>
      </c>
      <c r="Q295" s="129" t="str">
        <f t="shared" si="23"/>
        <v/>
      </c>
      <c r="R295" s="127"/>
      <c r="S295" s="128" t="str">
        <f t="shared" si="21"/>
        <v/>
      </c>
      <c r="T295" s="128" t="str">
        <f>IF(S295="","",J295/(POWER(1+'Qredits maandlasten'!$C$8,$B295-1+1)))</f>
        <v/>
      </c>
      <c r="U295" s="130" t="str">
        <f t="shared" si="24"/>
        <v/>
      </c>
      <c r="V295" s="128" t="str">
        <f>IF($B295="","",K295/(POWER(1+'Qredits maandlasten'!$C$8,$B295-1+1)))</f>
        <v/>
      </c>
      <c r="W295" s="127"/>
    </row>
    <row r="296" spans="1:23" s="132" customFormat="1" x14ac:dyDescent="0.2">
      <c r="A296" s="123"/>
      <c r="B296" s="124" t="str">
        <f>IF($B295="","",IF($B295+1&gt;'Qredits maandlasten'!$C$4,"",Schema!B295+1))</f>
        <v/>
      </c>
      <c r="C296" s="125" t="str">
        <f>IF($B295="","",IF($B295+1&gt;'Qredits maandlasten'!$C$4,"",EOMONTH(C295,0)+1))</f>
        <v/>
      </c>
      <c r="D296" s="123"/>
      <c r="E296" s="125" t="str">
        <f>IF($B295="","",IF($B295+1&gt;'Qredits maandlasten'!$C$4,"",F295+1))</f>
        <v/>
      </c>
      <c r="F296" s="125" t="str">
        <f>IF($B295="","",IF($B295+1&gt;'Qredits maandlasten'!$C$4,"",EOMONTH(E296,0)))</f>
        <v/>
      </c>
      <c r="G296" s="126" t="str">
        <f>IF($B295="","",IF($B295+1&gt;'Qredits maandlasten'!$C$4,"",(_xlfn.DAYS(F296,E296)+1)/DAY(F296)))</f>
        <v/>
      </c>
      <c r="H296" s="127"/>
      <c r="I296" s="128" t="str">
        <f>IF($B295="","",IF($B295+1&gt;'Qredits maandlasten'!$C$4,"",I295-J295))</f>
        <v/>
      </c>
      <c r="J296" s="128" t="str">
        <f>IF($B295="","",IF($B295+1&gt;'Qredits maandlasten'!$C$4,"",IF(B295&lt;'Qredits maandlasten'!$C$11-1,0,IF('Qredits maandlasten'!$C$10=dropdowns!$A$121,'Qredits maandlasten'!$J$3,IF('Qredits maandlasten'!$C$10=dropdowns!$A$120,IFERROR('Qredits maandlasten'!$J$3-K296,0),0)))))</f>
        <v/>
      </c>
      <c r="K296" s="128" t="str">
        <f>IF($B295="","",IF($B295+1&gt;'Qredits maandlasten'!$C$4,"",G296*I296*'Qredits maandlasten'!$C$8))</f>
        <v/>
      </c>
      <c r="L296" s="128" t="str">
        <f t="shared" si="22"/>
        <v/>
      </c>
      <c r="M296" s="128" t="str">
        <f t="shared" si="20"/>
        <v/>
      </c>
      <c r="N296" s="127"/>
      <c r="O296" s="129" t="str">
        <f>IF($B296="","",'Qredits maandlasten'!$C$8)</f>
        <v/>
      </c>
      <c r="P296" s="129" t="str">
        <f>IF($B296="","",'Qredits maandlasten'!$C$8*(POWER(1+'Qredits maandlasten'!$C$8,$B296-1+1)))</f>
        <v/>
      </c>
      <c r="Q296" s="129" t="str">
        <f t="shared" si="23"/>
        <v/>
      </c>
      <c r="R296" s="127"/>
      <c r="S296" s="128" t="str">
        <f t="shared" si="21"/>
        <v/>
      </c>
      <c r="T296" s="128" t="str">
        <f>IF(S296="","",J296/(POWER(1+'Qredits maandlasten'!$C$8,$B296-1+1)))</f>
        <v/>
      </c>
      <c r="U296" s="130" t="str">
        <f t="shared" si="24"/>
        <v/>
      </c>
      <c r="V296" s="128" t="str">
        <f>IF($B296="","",K296/(POWER(1+'Qredits maandlasten'!$C$8,$B296-1+1)))</f>
        <v/>
      </c>
      <c r="W296" s="127"/>
    </row>
    <row r="297" spans="1:23" s="132" customFormat="1" x14ac:dyDescent="0.2">
      <c r="A297" s="123"/>
      <c r="B297" s="124" t="str">
        <f>IF($B296="","",IF($B296+1&gt;'Qredits maandlasten'!$C$4,"",Schema!B296+1))</f>
        <v/>
      </c>
      <c r="C297" s="125" t="str">
        <f>IF($B296="","",IF($B296+1&gt;'Qredits maandlasten'!$C$4,"",EOMONTH(C296,0)+1))</f>
        <v/>
      </c>
      <c r="D297" s="123"/>
      <c r="E297" s="125" t="str">
        <f>IF($B296="","",IF($B296+1&gt;'Qredits maandlasten'!$C$4,"",F296+1))</f>
        <v/>
      </c>
      <c r="F297" s="125" t="str">
        <f>IF($B296="","",IF($B296+1&gt;'Qredits maandlasten'!$C$4,"",EOMONTH(E297,0)))</f>
        <v/>
      </c>
      <c r="G297" s="126" t="str">
        <f>IF($B296="","",IF($B296+1&gt;'Qredits maandlasten'!$C$4,"",(_xlfn.DAYS(F297,E297)+1)/DAY(F297)))</f>
        <v/>
      </c>
      <c r="H297" s="127"/>
      <c r="I297" s="128" t="str">
        <f>IF($B296="","",IF($B296+1&gt;'Qredits maandlasten'!$C$4,"",I296-J296))</f>
        <v/>
      </c>
      <c r="J297" s="128" t="str">
        <f>IF($B296="","",IF($B296+1&gt;'Qredits maandlasten'!$C$4,"",IF(B296&lt;'Qredits maandlasten'!$C$11-1,0,IF('Qredits maandlasten'!$C$10=dropdowns!$A$121,'Qredits maandlasten'!$J$3,IF('Qredits maandlasten'!$C$10=dropdowns!$A$120,IFERROR('Qredits maandlasten'!$J$3-K297,0),0)))))</f>
        <v/>
      </c>
      <c r="K297" s="128" t="str">
        <f>IF($B296="","",IF($B296+1&gt;'Qredits maandlasten'!$C$4,"",G297*I297*'Qredits maandlasten'!$C$8))</f>
        <v/>
      </c>
      <c r="L297" s="128" t="str">
        <f t="shared" si="22"/>
        <v/>
      </c>
      <c r="M297" s="128" t="str">
        <f t="shared" si="20"/>
        <v/>
      </c>
      <c r="N297" s="127"/>
      <c r="O297" s="129" t="str">
        <f>IF($B297="","",'Qredits maandlasten'!$C$8)</f>
        <v/>
      </c>
      <c r="P297" s="129" t="str">
        <f>IF($B297="","",'Qredits maandlasten'!$C$8*(POWER(1+'Qredits maandlasten'!$C$8,$B297-1+1)))</f>
        <v/>
      </c>
      <c r="Q297" s="129" t="str">
        <f t="shared" si="23"/>
        <v/>
      </c>
      <c r="R297" s="127"/>
      <c r="S297" s="128" t="str">
        <f t="shared" si="21"/>
        <v/>
      </c>
      <c r="T297" s="128" t="str">
        <f>IF(S297="","",J297/(POWER(1+'Qredits maandlasten'!$C$8,$B297-1+1)))</f>
        <v/>
      </c>
      <c r="U297" s="130" t="str">
        <f t="shared" si="24"/>
        <v/>
      </c>
      <c r="V297" s="128" t="str">
        <f>IF($B297="","",K297/(POWER(1+'Qredits maandlasten'!$C$8,$B297-1+1)))</f>
        <v/>
      </c>
      <c r="W297" s="127"/>
    </row>
    <row r="298" spans="1:23" s="132" customFormat="1" x14ac:dyDescent="0.2">
      <c r="A298" s="123"/>
      <c r="B298" s="124" t="str">
        <f>IF($B297="","",IF($B297+1&gt;'Qredits maandlasten'!$C$4,"",Schema!B297+1))</f>
        <v/>
      </c>
      <c r="C298" s="125" t="str">
        <f>IF($B297="","",IF($B297+1&gt;'Qredits maandlasten'!$C$4,"",EOMONTH(C297,0)+1))</f>
        <v/>
      </c>
      <c r="D298" s="123"/>
      <c r="E298" s="125" t="str">
        <f>IF($B297="","",IF($B297+1&gt;'Qredits maandlasten'!$C$4,"",F297+1))</f>
        <v/>
      </c>
      <c r="F298" s="125" t="str">
        <f>IF($B297="","",IF($B297+1&gt;'Qredits maandlasten'!$C$4,"",EOMONTH(E298,0)))</f>
        <v/>
      </c>
      <c r="G298" s="126" t="str">
        <f>IF($B297="","",IF($B297+1&gt;'Qredits maandlasten'!$C$4,"",(_xlfn.DAYS(F298,E298)+1)/DAY(F298)))</f>
        <v/>
      </c>
      <c r="H298" s="127"/>
      <c r="I298" s="128" t="str">
        <f>IF($B297="","",IF($B297+1&gt;'Qredits maandlasten'!$C$4,"",I297-J297))</f>
        <v/>
      </c>
      <c r="J298" s="128" t="str">
        <f>IF($B297="","",IF($B297+1&gt;'Qredits maandlasten'!$C$4,"",IF(B297&lt;'Qredits maandlasten'!$C$11-1,0,IF('Qredits maandlasten'!$C$10=dropdowns!$A$121,'Qredits maandlasten'!$J$3,IF('Qredits maandlasten'!$C$10=dropdowns!$A$120,IFERROR('Qredits maandlasten'!$J$3-K298,0),0)))))</f>
        <v/>
      </c>
      <c r="K298" s="128" t="str">
        <f>IF($B297="","",IF($B297+1&gt;'Qredits maandlasten'!$C$4,"",G298*I298*'Qredits maandlasten'!$C$8))</f>
        <v/>
      </c>
      <c r="L298" s="128" t="str">
        <f t="shared" si="22"/>
        <v/>
      </c>
      <c r="M298" s="128" t="str">
        <f t="shared" si="20"/>
        <v/>
      </c>
      <c r="N298" s="127"/>
      <c r="O298" s="129" t="str">
        <f>IF($B298="","",'Qredits maandlasten'!$C$8)</f>
        <v/>
      </c>
      <c r="P298" s="129" t="str">
        <f>IF($B298="","",'Qredits maandlasten'!$C$8*(POWER(1+'Qredits maandlasten'!$C$8,$B298-1+1)))</f>
        <v/>
      </c>
      <c r="Q298" s="129" t="str">
        <f t="shared" si="23"/>
        <v/>
      </c>
      <c r="R298" s="127"/>
      <c r="S298" s="128" t="str">
        <f t="shared" si="21"/>
        <v/>
      </c>
      <c r="T298" s="128" t="str">
        <f>IF(S298="","",J298/(POWER(1+'Qredits maandlasten'!$C$8,$B298-1+1)))</f>
        <v/>
      </c>
      <c r="U298" s="130" t="str">
        <f t="shared" si="24"/>
        <v/>
      </c>
      <c r="V298" s="128" t="str">
        <f>IF($B298="","",K298/(POWER(1+'Qredits maandlasten'!$C$8,$B298-1+1)))</f>
        <v/>
      </c>
      <c r="W298" s="127"/>
    </row>
    <row r="299" spans="1:23" s="132" customFormat="1" x14ac:dyDescent="0.2">
      <c r="A299" s="123"/>
      <c r="B299" s="124" t="str">
        <f>IF($B298="","",IF($B298+1&gt;'Qredits maandlasten'!$C$4,"",Schema!B298+1))</f>
        <v/>
      </c>
      <c r="C299" s="125" t="str">
        <f>IF($B298="","",IF($B298+1&gt;'Qredits maandlasten'!$C$4,"",EOMONTH(C298,0)+1))</f>
        <v/>
      </c>
      <c r="D299" s="123"/>
      <c r="E299" s="125" t="str">
        <f>IF($B298="","",IF($B298+1&gt;'Qredits maandlasten'!$C$4,"",F298+1))</f>
        <v/>
      </c>
      <c r="F299" s="125" t="str">
        <f>IF($B298="","",IF($B298+1&gt;'Qredits maandlasten'!$C$4,"",EOMONTH(E299,0)))</f>
        <v/>
      </c>
      <c r="G299" s="126" t="str">
        <f>IF($B298="","",IF($B298+1&gt;'Qredits maandlasten'!$C$4,"",(_xlfn.DAYS(F299,E299)+1)/DAY(F299)))</f>
        <v/>
      </c>
      <c r="H299" s="127"/>
      <c r="I299" s="128" t="str">
        <f>IF($B298="","",IF($B298+1&gt;'Qredits maandlasten'!$C$4,"",I298-J298))</f>
        <v/>
      </c>
      <c r="J299" s="128" t="str">
        <f>IF($B298="","",IF($B298+1&gt;'Qredits maandlasten'!$C$4,"",IF(B298&lt;'Qredits maandlasten'!$C$11-1,0,IF('Qredits maandlasten'!$C$10=dropdowns!$A$121,'Qredits maandlasten'!$J$3,IF('Qredits maandlasten'!$C$10=dropdowns!$A$120,IFERROR('Qredits maandlasten'!$J$3-K299,0),0)))))</f>
        <v/>
      </c>
      <c r="K299" s="128" t="str">
        <f>IF($B298="","",IF($B298+1&gt;'Qredits maandlasten'!$C$4,"",G299*I299*'Qredits maandlasten'!$C$8))</f>
        <v/>
      </c>
      <c r="L299" s="128" t="str">
        <f t="shared" si="22"/>
        <v/>
      </c>
      <c r="M299" s="128" t="str">
        <f t="shared" si="20"/>
        <v/>
      </c>
      <c r="N299" s="127"/>
      <c r="O299" s="129" t="str">
        <f>IF($B299="","",'Qredits maandlasten'!$C$8)</f>
        <v/>
      </c>
      <c r="P299" s="129" t="str">
        <f>IF($B299="","",'Qredits maandlasten'!$C$8*(POWER(1+'Qredits maandlasten'!$C$8,$B299-1+1)))</f>
        <v/>
      </c>
      <c r="Q299" s="129" t="str">
        <f t="shared" si="23"/>
        <v/>
      </c>
      <c r="R299" s="127"/>
      <c r="S299" s="128" t="str">
        <f t="shared" si="21"/>
        <v/>
      </c>
      <c r="T299" s="128" t="str">
        <f>IF(S299="","",J299/(POWER(1+'Qredits maandlasten'!$C$8,$B299-1+1)))</f>
        <v/>
      </c>
      <c r="U299" s="130" t="str">
        <f t="shared" si="24"/>
        <v/>
      </c>
      <c r="V299" s="128" t="str">
        <f>IF($B299="","",K299/(POWER(1+'Qredits maandlasten'!$C$8,$B299-1+1)))</f>
        <v/>
      </c>
      <c r="W299" s="127"/>
    </row>
    <row r="300" spans="1:23" s="132" customFormat="1" x14ac:dyDescent="0.2">
      <c r="A300" s="123"/>
      <c r="B300" s="124" t="str">
        <f>IF($B299="","",IF($B299+1&gt;'Qredits maandlasten'!$C$4,"",Schema!B299+1))</f>
        <v/>
      </c>
      <c r="C300" s="125" t="str">
        <f>IF($B299="","",IF($B299+1&gt;'Qredits maandlasten'!$C$4,"",EOMONTH(C299,0)+1))</f>
        <v/>
      </c>
      <c r="D300" s="123"/>
      <c r="E300" s="125" t="str">
        <f>IF($B299="","",IF($B299+1&gt;'Qredits maandlasten'!$C$4,"",F299+1))</f>
        <v/>
      </c>
      <c r="F300" s="125" t="str">
        <f>IF($B299="","",IF($B299+1&gt;'Qredits maandlasten'!$C$4,"",EOMONTH(E300,0)))</f>
        <v/>
      </c>
      <c r="G300" s="126" t="str">
        <f>IF($B299="","",IF($B299+1&gt;'Qredits maandlasten'!$C$4,"",(_xlfn.DAYS(F300,E300)+1)/DAY(F300)))</f>
        <v/>
      </c>
      <c r="H300" s="127"/>
      <c r="I300" s="128" t="str">
        <f>IF($B299="","",IF($B299+1&gt;'Qredits maandlasten'!$C$4,"",I299-J299))</f>
        <v/>
      </c>
      <c r="J300" s="128" t="str">
        <f>IF($B299="","",IF($B299+1&gt;'Qredits maandlasten'!$C$4,"",IF(B299&lt;'Qredits maandlasten'!$C$11-1,0,IF('Qredits maandlasten'!$C$10=dropdowns!$A$121,'Qredits maandlasten'!$J$3,IF('Qredits maandlasten'!$C$10=dropdowns!$A$120,IFERROR('Qredits maandlasten'!$J$3-K300,0),0)))))</f>
        <v/>
      </c>
      <c r="K300" s="128" t="str">
        <f>IF($B299="","",IF($B299+1&gt;'Qredits maandlasten'!$C$4,"",G300*I300*'Qredits maandlasten'!$C$8))</f>
        <v/>
      </c>
      <c r="L300" s="128" t="str">
        <f t="shared" si="22"/>
        <v/>
      </c>
      <c r="M300" s="128" t="str">
        <f t="shared" si="20"/>
        <v/>
      </c>
      <c r="N300" s="127"/>
      <c r="O300" s="129" t="str">
        <f>IF($B300="","",'Qredits maandlasten'!$C$8)</f>
        <v/>
      </c>
      <c r="P300" s="129" t="str">
        <f>IF($B300="","",'Qredits maandlasten'!$C$8*(POWER(1+'Qredits maandlasten'!$C$8,$B300-1+1)))</f>
        <v/>
      </c>
      <c r="Q300" s="129" t="str">
        <f t="shared" si="23"/>
        <v/>
      </c>
      <c r="R300" s="127"/>
      <c r="S300" s="128" t="str">
        <f t="shared" si="21"/>
        <v/>
      </c>
      <c r="T300" s="128" t="str">
        <f>IF(S300="","",J300/(POWER(1+'Qredits maandlasten'!$C$8,$B300-1+1)))</f>
        <v/>
      </c>
      <c r="U300" s="130" t="str">
        <f t="shared" si="24"/>
        <v/>
      </c>
      <c r="V300" s="128" t="str">
        <f>IF($B300="","",K300/(POWER(1+'Qredits maandlasten'!$C$8,$B300-1+1)))</f>
        <v/>
      </c>
      <c r="W300" s="127"/>
    </row>
    <row r="301" spans="1:23" s="132" customFormat="1" x14ac:dyDescent="0.2">
      <c r="A301" s="123"/>
      <c r="B301" s="124" t="str">
        <f>IF($B300="","",IF($B300+1&gt;'Qredits maandlasten'!$C$4,"",Schema!B300+1))</f>
        <v/>
      </c>
      <c r="C301" s="125" t="str">
        <f>IF($B300="","",IF($B300+1&gt;'Qredits maandlasten'!$C$4,"",EOMONTH(C300,0)+1))</f>
        <v/>
      </c>
      <c r="D301" s="123"/>
      <c r="E301" s="125" t="str">
        <f>IF($B300="","",IF($B300+1&gt;'Qredits maandlasten'!$C$4,"",F300+1))</f>
        <v/>
      </c>
      <c r="F301" s="125" t="str">
        <f>IF($B300="","",IF($B300+1&gt;'Qredits maandlasten'!$C$4,"",EOMONTH(E301,0)))</f>
        <v/>
      </c>
      <c r="G301" s="126" t="str">
        <f>IF($B300="","",IF($B300+1&gt;'Qredits maandlasten'!$C$4,"",(_xlfn.DAYS(F301,E301)+1)/DAY(F301)))</f>
        <v/>
      </c>
      <c r="H301" s="127"/>
      <c r="I301" s="128" t="str">
        <f>IF($B300="","",IF($B300+1&gt;'Qredits maandlasten'!$C$4,"",I300-J300))</f>
        <v/>
      </c>
      <c r="J301" s="128" t="str">
        <f>IF($B300="","",IF($B300+1&gt;'Qredits maandlasten'!$C$4,"",IF(B300&lt;'Qredits maandlasten'!$C$11-1,0,IF('Qredits maandlasten'!$C$10=dropdowns!$A$121,'Qredits maandlasten'!$J$3,IF('Qredits maandlasten'!$C$10=dropdowns!$A$120,IFERROR('Qredits maandlasten'!$J$3-K301,0),0)))))</f>
        <v/>
      </c>
      <c r="K301" s="128" t="str">
        <f>IF($B300="","",IF($B300+1&gt;'Qredits maandlasten'!$C$4,"",G301*I301*'Qredits maandlasten'!$C$8))</f>
        <v/>
      </c>
      <c r="L301" s="128" t="str">
        <f t="shared" si="22"/>
        <v/>
      </c>
      <c r="M301" s="128" t="str">
        <f t="shared" si="20"/>
        <v/>
      </c>
      <c r="N301" s="127"/>
      <c r="O301" s="129" t="str">
        <f>IF($B301="","",'Qredits maandlasten'!$C$8)</f>
        <v/>
      </c>
      <c r="P301" s="129" t="str">
        <f>IF($B301="","",'Qredits maandlasten'!$C$8*(POWER(1+'Qredits maandlasten'!$C$8,$B301-1+1)))</f>
        <v/>
      </c>
      <c r="Q301" s="129" t="str">
        <f t="shared" si="23"/>
        <v/>
      </c>
      <c r="R301" s="127"/>
      <c r="S301" s="128" t="str">
        <f t="shared" si="21"/>
        <v/>
      </c>
      <c r="T301" s="128" t="str">
        <f>IF(S301="","",J301/(POWER(1+'Qredits maandlasten'!$C$8,$B301-1+1)))</f>
        <v/>
      </c>
      <c r="U301" s="130" t="str">
        <f t="shared" si="24"/>
        <v/>
      </c>
      <c r="V301" s="128" t="str">
        <f>IF($B301="","",K301/(POWER(1+'Qredits maandlasten'!$C$8,$B301-1+1)))</f>
        <v/>
      </c>
      <c r="W301" s="127"/>
    </row>
    <row r="302" spans="1:23" s="132" customFormat="1" x14ac:dyDescent="0.2">
      <c r="A302" s="123"/>
      <c r="B302" s="124" t="str">
        <f>IF($B301="","",IF($B301+1&gt;'Qredits maandlasten'!$C$4,"",Schema!B301+1))</f>
        <v/>
      </c>
      <c r="C302" s="125" t="str">
        <f>IF($B301="","",IF($B301+1&gt;'Qredits maandlasten'!$C$4,"",EOMONTH(C301,0)+1))</f>
        <v/>
      </c>
      <c r="D302" s="123"/>
      <c r="E302" s="125" t="str">
        <f>IF($B301="","",IF($B301+1&gt;'Qredits maandlasten'!$C$4,"",F301+1))</f>
        <v/>
      </c>
      <c r="F302" s="125" t="str">
        <f>IF($B301="","",IF($B301+1&gt;'Qredits maandlasten'!$C$4,"",EOMONTH(E302,0)))</f>
        <v/>
      </c>
      <c r="G302" s="126" t="str">
        <f>IF($B301="","",IF($B301+1&gt;'Qredits maandlasten'!$C$4,"",(_xlfn.DAYS(F302,E302)+1)/DAY(F302)))</f>
        <v/>
      </c>
      <c r="H302" s="127"/>
      <c r="I302" s="128" t="str">
        <f>IF($B301="","",IF($B301+1&gt;'Qredits maandlasten'!$C$4,"",I301-J301))</f>
        <v/>
      </c>
      <c r="J302" s="128" t="str">
        <f>IF($B301="","",IF($B301+1&gt;'Qredits maandlasten'!$C$4,"",IF(B301&lt;'Qredits maandlasten'!$C$11-1,0,IF('Qredits maandlasten'!$C$10=dropdowns!$A$121,'Qredits maandlasten'!$J$3,IF('Qredits maandlasten'!$C$10=dropdowns!$A$120,IFERROR('Qredits maandlasten'!$J$3-K302,0),0)))))</f>
        <v/>
      </c>
      <c r="K302" s="128" t="str">
        <f>IF($B301="","",IF($B301+1&gt;'Qredits maandlasten'!$C$4,"",G302*I302*'Qredits maandlasten'!$C$8))</f>
        <v/>
      </c>
      <c r="L302" s="128" t="str">
        <f t="shared" si="22"/>
        <v/>
      </c>
      <c r="M302" s="128" t="str">
        <f t="shared" si="20"/>
        <v/>
      </c>
      <c r="N302" s="127"/>
      <c r="O302" s="129" t="str">
        <f>IF($B302="","",'Qredits maandlasten'!$C$8)</f>
        <v/>
      </c>
      <c r="P302" s="129" t="str">
        <f>IF($B302="","",'Qredits maandlasten'!$C$8*(POWER(1+'Qredits maandlasten'!$C$8,$B302-1+1)))</f>
        <v/>
      </c>
      <c r="Q302" s="129" t="str">
        <f t="shared" si="23"/>
        <v/>
      </c>
      <c r="R302" s="127"/>
      <c r="S302" s="128" t="str">
        <f t="shared" si="21"/>
        <v/>
      </c>
      <c r="T302" s="128" t="str">
        <f>IF(S302="","",J302/(POWER(1+'Qredits maandlasten'!$C$8,$B302-1+1)))</f>
        <v/>
      </c>
      <c r="U302" s="130" t="str">
        <f t="shared" si="24"/>
        <v/>
      </c>
      <c r="V302" s="128" t="str">
        <f>IF($B302="","",K302/(POWER(1+'Qredits maandlasten'!$C$8,$B302-1+1)))</f>
        <v/>
      </c>
      <c r="W302" s="127"/>
    </row>
    <row r="303" spans="1:23" s="132" customFormat="1" x14ac:dyDescent="0.2">
      <c r="A303" s="123"/>
      <c r="B303" s="124" t="str">
        <f>IF($B302="","",IF($B302+1&gt;'Qredits maandlasten'!$C$4,"",Schema!B302+1))</f>
        <v/>
      </c>
      <c r="C303" s="125" t="str">
        <f>IF($B302="","",IF($B302+1&gt;'Qredits maandlasten'!$C$4,"",EOMONTH(C302,0)+1))</f>
        <v/>
      </c>
      <c r="D303" s="123"/>
      <c r="E303" s="125" t="str">
        <f>IF($B302="","",IF($B302+1&gt;'Qredits maandlasten'!$C$4,"",F302+1))</f>
        <v/>
      </c>
      <c r="F303" s="125" t="str">
        <f>IF($B302="","",IF($B302+1&gt;'Qredits maandlasten'!$C$4,"",EOMONTH(E303,0)))</f>
        <v/>
      </c>
      <c r="G303" s="126" t="str">
        <f>IF($B302="","",IF($B302+1&gt;'Qredits maandlasten'!$C$4,"",(_xlfn.DAYS(F303,E303)+1)/DAY(F303)))</f>
        <v/>
      </c>
      <c r="H303" s="127"/>
      <c r="I303" s="128" t="str">
        <f>IF($B302="","",IF($B302+1&gt;'Qredits maandlasten'!$C$4,"",I302-J302))</f>
        <v/>
      </c>
      <c r="J303" s="128" t="str">
        <f>IF($B302="","",IF($B302+1&gt;'Qredits maandlasten'!$C$4,"",IF(B302&lt;'Qredits maandlasten'!$C$11-1,0,IF('Qredits maandlasten'!$C$10=dropdowns!$A$121,'Qredits maandlasten'!$J$3,IF('Qredits maandlasten'!$C$10=dropdowns!$A$120,IFERROR('Qredits maandlasten'!$J$3-K303,0),0)))))</f>
        <v/>
      </c>
      <c r="K303" s="128" t="str">
        <f>IF($B302="","",IF($B302+1&gt;'Qredits maandlasten'!$C$4,"",G303*I303*'Qredits maandlasten'!$C$8))</f>
        <v/>
      </c>
      <c r="L303" s="128" t="str">
        <f t="shared" si="22"/>
        <v/>
      </c>
      <c r="M303" s="128" t="str">
        <f t="shared" si="20"/>
        <v/>
      </c>
      <c r="N303" s="127"/>
      <c r="O303" s="129" t="str">
        <f>IF($B303="","",'Qredits maandlasten'!$C$8)</f>
        <v/>
      </c>
      <c r="P303" s="129" t="str">
        <f>IF($B303="","",'Qredits maandlasten'!$C$8*(POWER(1+'Qredits maandlasten'!$C$8,$B303-1+1)))</f>
        <v/>
      </c>
      <c r="Q303" s="129" t="str">
        <f t="shared" si="23"/>
        <v/>
      </c>
      <c r="R303" s="127"/>
      <c r="S303" s="128" t="str">
        <f t="shared" si="21"/>
        <v/>
      </c>
      <c r="T303" s="128" t="str">
        <f>IF(S303="","",J303/(POWER(1+'Qredits maandlasten'!$C$8,$B303-1+1)))</f>
        <v/>
      </c>
      <c r="U303" s="130" t="str">
        <f t="shared" si="24"/>
        <v/>
      </c>
      <c r="V303" s="128" t="str">
        <f>IF($B303="","",K303/(POWER(1+'Qredits maandlasten'!$C$8,$B303-1+1)))</f>
        <v/>
      </c>
      <c r="W303" s="127"/>
    </row>
    <row r="304" spans="1:23" s="132" customFormat="1" x14ac:dyDescent="0.2">
      <c r="A304" s="123"/>
      <c r="B304" s="124" t="str">
        <f>IF($B303="","",IF($B303+1&gt;'Qredits maandlasten'!$C$4,"",Schema!B303+1))</f>
        <v/>
      </c>
      <c r="C304" s="125" t="str">
        <f>IF($B303="","",IF($B303+1&gt;'Qredits maandlasten'!$C$4,"",EOMONTH(C303,0)+1))</f>
        <v/>
      </c>
      <c r="D304" s="123"/>
      <c r="E304" s="125" t="str">
        <f>IF($B303="","",IF($B303+1&gt;'Qredits maandlasten'!$C$4,"",F303+1))</f>
        <v/>
      </c>
      <c r="F304" s="125" t="str">
        <f>IF($B303="","",IF($B303+1&gt;'Qredits maandlasten'!$C$4,"",EOMONTH(E304,0)))</f>
        <v/>
      </c>
      <c r="G304" s="126" t="str">
        <f>IF($B303="","",IF($B303+1&gt;'Qredits maandlasten'!$C$4,"",(_xlfn.DAYS(F304,E304)+1)/DAY(F304)))</f>
        <v/>
      </c>
      <c r="H304" s="127"/>
      <c r="I304" s="128" t="str">
        <f>IF($B303="","",IF($B303+1&gt;'Qredits maandlasten'!$C$4,"",I303-J303))</f>
        <v/>
      </c>
      <c r="J304" s="128" t="str">
        <f>IF($B303="","",IF($B303+1&gt;'Qredits maandlasten'!$C$4,"",IF(B303&lt;'Qredits maandlasten'!$C$11-1,0,IF('Qredits maandlasten'!$C$10=dropdowns!$A$121,'Qredits maandlasten'!$J$3,IF('Qredits maandlasten'!$C$10=dropdowns!$A$120,IFERROR('Qredits maandlasten'!$J$3-K304,0),0)))))</f>
        <v/>
      </c>
      <c r="K304" s="128" t="str">
        <f>IF($B303="","",IF($B303+1&gt;'Qredits maandlasten'!$C$4,"",G304*I304*'Qredits maandlasten'!$C$8))</f>
        <v/>
      </c>
      <c r="L304" s="128" t="str">
        <f t="shared" si="22"/>
        <v/>
      </c>
      <c r="M304" s="128" t="str">
        <f t="shared" si="20"/>
        <v/>
      </c>
      <c r="N304" s="127"/>
      <c r="O304" s="129" t="str">
        <f>IF($B304="","",'Qredits maandlasten'!$C$8)</f>
        <v/>
      </c>
      <c r="P304" s="129" t="str">
        <f>IF($B304="","",'Qredits maandlasten'!$C$8*(POWER(1+'Qredits maandlasten'!$C$8,$B304-1+1)))</f>
        <v/>
      </c>
      <c r="Q304" s="129" t="str">
        <f t="shared" si="23"/>
        <v/>
      </c>
      <c r="R304" s="127"/>
      <c r="S304" s="128" t="str">
        <f t="shared" si="21"/>
        <v/>
      </c>
      <c r="T304" s="128" t="str">
        <f>IF(S304="","",J304/(POWER(1+'Qredits maandlasten'!$C$8,$B304-1+1)))</f>
        <v/>
      </c>
      <c r="U304" s="130" t="str">
        <f t="shared" si="24"/>
        <v/>
      </c>
      <c r="V304" s="128" t="str">
        <f>IF($B304="","",K304/(POWER(1+'Qredits maandlasten'!$C$8,$B304-1+1)))</f>
        <v/>
      </c>
      <c r="W304" s="127"/>
    </row>
    <row r="305" spans="1:23" s="132" customFormat="1" x14ac:dyDescent="0.2">
      <c r="A305" s="123"/>
      <c r="B305" s="124" t="str">
        <f>IF($B304="","",IF($B304+1&gt;'Qredits maandlasten'!$C$4,"",Schema!B304+1))</f>
        <v/>
      </c>
      <c r="C305" s="125" t="str">
        <f>IF($B304="","",IF($B304+1&gt;'Qredits maandlasten'!$C$4,"",EOMONTH(C304,0)+1))</f>
        <v/>
      </c>
      <c r="D305" s="123"/>
      <c r="E305" s="125" t="str">
        <f>IF($B304="","",IF($B304+1&gt;'Qredits maandlasten'!$C$4,"",F304+1))</f>
        <v/>
      </c>
      <c r="F305" s="125" t="str">
        <f>IF($B304="","",IF($B304+1&gt;'Qredits maandlasten'!$C$4,"",EOMONTH(E305,0)))</f>
        <v/>
      </c>
      <c r="G305" s="126" t="str">
        <f>IF($B304="","",IF($B304+1&gt;'Qredits maandlasten'!$C$4,"",(_xlfn.DAYS(F305,E305)+1)/DAY(F305)))</f>
        <v/>
      </c>
      <c r="H305" s="127"/>
      <c r="I305" s="128" t="str">
        <f>IF($B304="","",IF($B304+1&gt;'Qredits maandlasten'!$C$4,"",I304-J304))</f>
        <v/>
      </c>
      <c r="J305" s="128" t="str">
        <f>IF($B304="","",IF($B304+1&gt;'Qredits maandlasten'!$C$4,"",IF(B304&lt;'Qredits maandlasten'!$C$11-1,0,IF('Qredits maandlasten'!$C$10=dropdowns!$A$121,'Qredits maandlasten'!$J$3,IF('Qredits maandlasten'!$C$10=dropdowns!$A$120,IFERROR('Qredits maandlasten'!$J$3-K305,0),0)))))</f>
        <v/>
      </c>
      <c r="K305" s="128" t="str">
        <f>IF($B304="","",IF($B304+1&gt;'Qredits maandlasten'!$C$4,"",G305*I305*'Qredits maandlasten'!$C$8))</f>
        <v/>
      </c>
      <c r="L305" s="128" t="str">
        <f t="shared" si="22"/>
        <v/>
      </c>
      <c r="M305" s="128" t="str">
        <f t="shared" si="20"/>
        <v/>
      </c>
      <c r="N305" s="127"/>
      <c r="O305" s="129" t="str">
        <f>IF($B305="","",'Qredits maandlasten'!$C$8)</f>
        <v/>
      </c>
      <c r="P305" s="129" t="str">
        <f>IF($B305="","",'Qredits maandlasten'!$C$8*(POWER(1+'Qredits maandlasten'!$C$8,$B305-1+1)))</f>
        <v/>
      </c>
      <c r="Q305" s="129" t="str">
        <f t="shared" si="23"/>
        <v/>
      </c>
      <c r="R305" s="127"/>
      <c r="S305" s="128" t="str">
        <f t="shared" si="21"/>
        <v/>
      </c>
      <c r="T305" s="128" t="str">
        <f>IF(S305="","",J305/(POWER(1+'Qredits maandlasten'!$C$8,$B305-1+1)))</f>
        <v/>
      </c>
      <c r="U305" s="130" t="str">
        <f t="shared" si="24"/>
        <v/>
      </c>
      <c r="V305" s="128" t="str">
        <f>IF($B305="","",K305/(POWER(1+'Qredits maandlasten'!$C$8,$B305-1+1)))</f>
        <v/>
      </c>
      <c r="W305" s="127"/>
    </row>
    <row r="306" spans="1:23" s="132" customFormat="1" x14ac:dyDescent="0.2">
      <c r="A306" s="123"/>
      <c r="B306" s="124" t="str">
        <f>IF($B305="","",IF($B305+1&gt;'Qredits maandlasten'!$C$4,"",Schema!B305+1))</f>
        <v/>
      </c>
      <c r="C306" s="125" t="str">
        <f>IF($B305="","",IF($B305+1&gt;'Qredits maandlasten'!$C$4,"",EOMONTH(C305,0)+1))</f>
        <v/>
      </c>
      <c r="D306" s="123"/>
      <c r="E306" s="125" t="str">
        <f>IF($B305="","",IF($B305+1&gt;'Qredits maandlasten'!$C$4,"",F305+1))</f>
        <v/>
      </c>
      <c r="F306" s="125" t="str">
        <f>IF($B305="","",IF($B305+1&gt;'Qredits maandlasten'!$C$4,"",EOMONTH(E306,0)))</f>
        <v/>
      </c>
      <c r="G306" s="126" t="str">
        <f>IF($B305="","",IF($B305+1&gt;'Qredits maandlasten'!$C$4,"",(_xlfn.DAYS(F306,E306)+1)/DAY(F306)))</f>
        <v/>
      </c>
      <c r="H306" s="127"/>
      <c r="I306" s="128" t="str">
        <f>IF($B305="","",IF($B305+1&gt;'Qredits maandlasten'!$C$4,"",I305-J305))</f>
        <v/>
      </c>
      <c r="J306" s="128" t="str">
        <f>IF($B305="","",IF($B305+1&gt;'Qredits maandlasten'!$C$4,"",IF(B305&lt;'Qredits maandlasten'!$C$11-1,0,IF('Qredits maandlasten'!$C$10=dropdowns!$A$121,'Qredits maandlasten'!$J$3,IF('Qredits maandlasten'!$C$10=dropdowns!$A$120,IFERROR('Qredits maandlasten'!$J$3-K306,0),0)))))</f>
        <v/>
      </c>
      <c r="K306" s="128" t="str">
        <f>IF($B305="","",IF($B305+1&gt;'Qredits maandlasten'!$C$4,"",G306*I306*'Qredits maandlasten'!$C$8))</f>
        <v/>
      </c>
      <c r="L306" s="128" t="str">
        <f t="shared" si="22"/>
        <v/>
      </c>
      <c r="M306" s="128" t="str">
        <f t="shared" si="20"/>
        <v/>
      </c>
      <c r="N306" s="127"/>
      <c r="O306" s="129" t="str">
        <f>IF($B306="","",'Qredits maandlasten'!$C$8)</f>
        <v/>
      </c>
      <c r="P306" s="129" t="str">
        <f>IF($B306="","",'Qredits maandlasten'!$C$8*(POWER(1+'Qredits maandlasten'!$C$8,$B306-1+1)))</f>
        <v/>
      </c>
      <c r="Q306" s="129" t="str">
        <f t="shared" si="23"/>
        <v/>
      </c>
      <c r="R306" s="127"/>
      <c r="S306" s="128" t="str">
        <f t="shared" si="21"/>
        <v/>
      </c>
      <c r="T306" s="128" t="str">
        <f>IF(S306="","",J306/(POWER(1+'Qredits maandlasten'!$C$8,$B306-1+1)))</f>
        <v/>
      </c>
      <c r="U306" s="130" t="str">
        <f t="shared" si="24"/>
        <v/>
      </c>
      <c r="V306" s="128" t="str">
        <f>IF($B306="","",K306/(POWER(1+'Qredits maandlasten'!$C$8,$B306-1+1)))</f>
        <v/>
      </c>
      <c r="W306" s="127"/>
    </row>
    <row r="307" spans="1:23" s="132" customFormat="1" x14ac:dyDescent="0.2">
      <c r="A307" s="123"/>
      <c r="B307" s="124" t="str">
        <f>IF($B306="","",IF($B306+1&gt;'Qredits maandlasten'!$C$4,"",Schema!B306+1))</f>
        <v/>
      </c>
      <c r="C307" s="125" t="str">
        <f>IF($B306="","",IF($B306+1&gt;'Qredits maandlasten'!$C$4,"",EOMONTH(C306,0)+1))</f>
        <v/>
      </c>
      <c r="D307" s="123"/>
      <c r="E307" s="125" t="str">
        <f>IF($B306="","",IF($B306+1&gt;'Qredits maandlasten'!$C$4,"",F306+1))</f>
        <v/>
      </c>
      <c r="F307" s="125" t="str">
        <f>IF($B306="","",IF($B306+1&gt;'Qredits maandlasten'!$C$4,"",EOMONTH(E307,0)))</f>
        <v/>
      </c>
      <c r="G307" s="126" t="str">
        <f>IF($B306="","",IF($B306+1&gt;'Qredits maandlasten'!$C$4,"",(_xlfn.DAYS(F307,E307)+1)/DAY(F307)))</f>
        <v/>
      </c>
      <c r="H307" s="127"/>
      <c r="I307" s="128" t="str">
        <f>IF($B306="","",IF($B306+1&gt;'Qredits maandlasten'!$C$4,"",I306-J306))</f>
        <v/>
      </c>
      <c r="J307" s="128" t="str">
        <f>IF($B306="","",IF($B306+1&gt;'Qredits maandlasten'!$C$4,"",IF(B306&lt;'Qredits maandlasten'!$C$11-1,0,IF('Qredits maandlasten'!$C$10=dropdowns!$A$121,'Qredits maandlasten'!$J$3,IF('Qredits maandlasten'!$C$10=dropdowns!$A$120,IFERROR('Qredits maandlasten'!$J$3-K307,0),0)))))</f>
        <v/>
      </c>
      <c r="K307" s="128" t="str">
        <f>IF($B306="","",IF($B306+1&gt;'Qredits maandlasten'!$C$4,"",G307*I307*'Qredits maandlasten'!$C$8))</f>
        <v/>
      </c>
      <c r="L307" s="128" t="str">
        <f t="shared" si="22"/>
        <v/>
      </c>
      <c r="M307" s="128" t="str">
        <f t="shared" si="20"/>
        <v/>
      </c>
      <c r="N307" s="127"/>
      <c r="O307" s="129" t="str">
        <f>IF($B307="","",'Qredits maandlasten'!$C$8)</f>
        <v/>
      </c>
      <c r="P307" s="129" t="str">
        <f>IF($B307="","",'Qredits maandlasten'!$C$8*(POWER(1+'Qredits maandlasten'!$C$8,$B307-1+1)))</f>
        <v/>
      </c>
      <c r="Q307" s="129" t="str">
        <f t="shared" si="23"/>
        <v/>
      </c>
      <c r="R307" s="127"/>
      <c r="S307" s="128" t="str">
        <f t="shared" si="21"/>
        <v/>
      </c>
      <c r="T307" s="128" t="str">
        <f>IF(S307="","",J307/(POWER(1+'Qredits maandlasten'!$C$8,$B307-1+1)))</f>
        <v/>
      </c>
      <c r="U307" s="130" t="str">
        <f t="shared" si="24"/>
        <v/>
      </c>
      <c r="V307" s="128" t="str">
        <f>IF($B307="","",K307/(POWER(1+'Qredits maandlasten'!$C$8,$B307-1+1)))</f>
        <v/>
      </c>
      <c r="W307" s="127"/>
    </row>
    <row r="308" spans="1:23" s="132" customFormat="1" x14ac:dyDescent="0.2">
      <c r="A308" s="123"/>
      <c r="B308" s="124" t="str">
        <f>IF($B307="","",IF($B307+1&gt;'Qredits maandlasten'!$C$4,"",Schema!B307+1))</f>
        <v/>
      </c>
      <c r="C308" s="125" t="str">
        <f>IF($B307="","",IF($B307+1&gt;'Qredits maandlasten'!$C$4,"",EOMONTH(C307,0)+1))</f>
        <v/>
      </c>
      <c r="D308" s="123"/>
      <c r="E308" s="125" t="str">
        <f>IF($B307="","",IF($B307+1&gt;'Qredits maandlasten'!$C$4,"",F307+1))</f>
        <v/>
      </c>
      <c r="F308" s="125" t="str">
        <f>IF($B307="","",IF($B307+1&gt;'Qredits maandlasten'!$C$4,"",EOMONTH(E308,0)))</f>
        <v/>
      </c>
      <c r="G308" s="126" t="str">
        <f>IF($B307="","",IF($B307+1&gt;'Qredits maandlasten'!$C$4,"",(_xlfn.DAYS(F308,E308)+1)/DAY(F308)))</f>
        <v/>
      </c>
      <c r="H308" s="127"/>
      <c r="I308" s="128" t="str">
        <f>IF($B307="","",IF($B307+1&gt;'Qredits maandlasten'!$C$4,"",I307-J307))</f>
        <v/>
      </c>
      <c r="J308" s="128" t="str">
        <f>IF($B307="","",IF($B307+1&gt;'Qredits maandlasten'!$C$4,"",IF(B307&lt;'Qredits maandlasten'!$C$11-1,0,IF('Qredits maandlasten'!$C$10=dropdowns!$A$121,'Qredits maandlasten'!$J$3,IF('Qredits maandlasten'!$C$10=dropdowns!$A$120,IFERROR('Qredits maandlasten'!$J$3-K308,0),0)))))</f>
        <v/>
      </c>
      <c r="K308" s="128" t="str">
        <f>IF($B307="","",IF($B307+1&gt;'Qredits maandlasten'!$C$4,"",G308*I308*'Qredits maandlasten'!$C$8))</f>
        <v/>
      </c>
      <c r="L308" s="128" t="str">
        <f t="shared" si="22"/>
        <v/>
      </c>
      <c r="M308" s="128" t="str">
        <f t="shared" si="20"/>
        <v/>
      </c>
      <c r="N308" s="127"/>
      <c r="O308" s="129" t="str">
        <f>IF($B308="","",'Qredits maandlasten'!$C$8)</f>
        <v/>
      </c>
      <c r="P308" s="129" t="str">
        <f>IF($B308="","",'Qredits maandlasten'!$C$8*(POWER(1+'Qredits maandlasten'!$C$8,$B308-1+1)))</f>
        <v/>
      </c>
      <c r="Q308" s="129" t="str">
        <f t="shared" si="23"/>
        <v/>
      </c>
      <c r="R308" s="127"/>
      <c r="S308" s="128" t="str">
        <f t="shared" si="21"/>
        <v/>
      </c>
      <c r="T308" s="128" t="str">
        <f>IF(S308="","",J308/(POWER(1+'Qredits maandlasten'!$C$8,$B308-1+1)))</f>
        <v/>
      </c>
      <c r="U308" s="130" t="str">
        <f t="shared" si="24"/>
        <v/>
      </c>
      <c r="V308" s="128" t="str">
        <f>IF($B308="","",K308/(POWER(1+'Qredits maandlasten'!$C$8,$B308-1+1)))</f>
        <v/>
      </c>
      <c r="W308" s="127"/>
    </row>
    <row r="309" spans="1:23" s="132" customFormat="1" x14ac:dyDescent="0.2">
      <c r="A309" s="123"/>
      <c r="B309" s="124" t="str">
        <f>IF($B308="","",IF($B308+1&gt;'Qredits maandlasten'!$C$4,"",Schema!B308+1))</f>
        <v/>
      </c>
      <c r="C309" s="125" t="str">
        <f>IF($B308="","",IF($B308+1&gt;'Qredits maandlasten'!$C$4,"",EOMONTH(C308,0)+1))</f>
        <v/>
      </c>
      <c r="D309" s="123"/>
      <c r="E309" s="125" t="str">
        <f>IF($B308="","",IF($B308+1&gt;'Qredits maandlasten'!$C$4,"",F308+1))</f>
        <v/>
      </c>
      <c r="F309" s="125" t="str">
        <f>IF($B308="","",IF($B308+1&gt;'Qredits maandlasten'!$C$4,"",EOMONTH(E309,0)))</f>
        <v/>
      </c>
      <c r="G309" s="126" t="str">
        <f>IF($B308="","",IF($B308+1&gt;'Qredits maandlasten'!$C$4,"",(_xlfn.DAYS(F309,E309)+1)/DAY(F309)))</f>
        <v/>
      </c>
      <c r="H309" s="127"/>
      <c r="I309" s="128" t="str">
        <f>IF($B308="","",IF($B308+1&gt;'Qredits maandlasten'!$C$4,"",I308-J308))</f>
        <v/>
      </c>
      <c r="J309" s="128" t="str">
        <f>IF($B308="","",IF($B308+1&gt;'Qredits maandlasten'!$C$4,"",IF(B308&lt;'Qredits maandlasten'!$C$11-1,0,IF('Qredits maandlasten'!$C$10=dropdowns!$A$121,'Qredits maandlasten'!$J$3,IF('Qredits maandlasten'!$C$10=dropdowns!$A$120,IFERROR('Qredits maandlasten'!$J$3-K309,0),0)))))</f>
        <v/>
      </c>
      <c r="K309" s="128" t="str">
        <f>IF($B308="","",IF($B308+1&gt;'Qredits maandlasten'!$C$4,"",G309*I309*'Qredits maandlasten'!$C$8))</f>
        <v/>
      </c>
      <c r="L309" s="128" t="str">
        <f t="shared" si="22"/>
        <v/>
      </c>
      <c r="M309" s="128" t="str">
        <f t="shared" si="20"/>
        <v/>
      </c>
      <c r="N309" s="127"/>
      <c r="O309" s="129" t="str">
        <f>IF($B309="","",'Qredits maandlasten'!$C$8)</f>
        <v/>
      </c>
      <c r="P309" s="129" t="str">
        <f>IF($B309="","",'Qredits maandlasten'!$C$8*(POWER(1+'Qredits maandlasten'!$C$8,$B309-1+1)))</f>
        <v/>
      </c>
      <c r="Q309" s="129" t="str">
        <f t="shared" si="23"/>
        <v/>
      </c>
      <c r="R309" s="127"/>
      <c r="S309" s="128" t="str">
        <f t="shared" si="21"/>
        <v/>
      </c>
      <c r="T309" s="128" t="str">
        <f>IF(S309="","",J309/(POWER(1+'Qredits maandlasten'!$C$8,$B309-1+1)))</f>
        <v/>
      </c>
      <c r="U309" s="130" t="str">
        <f t="shared" si="24"/>
        <v/>
      </c>
      <c r="V309" s="128" t="str">
        <f>IF($B309="","",K309/(POWER(1+'Qredits maandlasten'!$C$8,$B309-1+1)))</f>
        <v/>
      </c>
      <c r="W309" s="127"/>
    </row>
    <row r="310" spans="1:23" s="132" customFormat="1" x14ac:dyDescent="0.2">
      <c r="A310" s="123"/>
      <c r="B310" s="124" t="str">
        <f>IF($B309="","",IF($B309+1&gt;'Qredits maandlasten'!$C$4,"",Schema!B309+1))</f>
        <v/>
      </c>
      <c r="C310" s="125" t="str">
        <f>IF($B309="","",IF($B309+1&gt;'Qredits maandlasten'!$C$4,"",EOMONTH(C309,0)+1))</f>
        <v/>
      </c>
      <c r="D310" s="123"/>
      <c r="E310" s="125" t="str">
        <f>IF($B309="","",IF($B309+1&gt;'Qredits maandlasten'!$C$4,"",F309+1))</f>
        <v/>
      </c>
      <c r="F310" s="125" t="str">
        <f>IF($B309="","",IF($B309+1&gt;'Qredits maandlasten'!$C$4,"",EOMONTH(E310,0)))</f>
        <v/>
      </c>
      <c r="G310" s="126" t="str">
        <f>IF($B309="","",IF($B309+1&gt;'Qredits maandlasten'!$C$4,"",(_xlfn.DAYS(F310,E310)+1)/DAY(F310)))</f>
        <v/>
      </c>
      <c r="H310" s="127"/>
      <c r="I310" s="128" t="str">
        <f>IF($B309="","",IF($B309+1&gt;'Qredits maandlasten'!$C$4,"",I309-J309))</f>
        <v/>
      </c>
      <c r="J310" s="128" t="str">
        <f>IF($B309="","",IF($B309+1&gt;'Qredits maandlasten'!$C$4,"",IF(B309&lt;'Qredits maandlasten'!$C$11-1,0,IF('Qredits maandlasten'!$C$10=dropdowns!$A$121,'Qredits maandlasten'!$J$3,IF('Qredits maandlasten'!$C$10=dropdowns!$A$120,IFERROR('Qredits maandlasten'!$J$3-K310,0),0)))))</f>
        <v/>
      </c>
      <c r="K310" s="128" t="str">
        <f>IF($B309="","",IF($B309+1&gt;'Qredits maandlasten'!$C$4,"",G310*I310*'Qredits maandlasten'!$C$8))</f>
        <v/>
      </c>
      <c r="L310" s="128" t="str">
        <f t="shared" si="22"/>
        <v/>
      </c>
      <c r="M310" s="128" t="str">
        <f t="shared" si="20"/>
        <v/>
      </c>
      <c r="N310" s="127"/>
      <c r="O310" s="129" t="str">
        <f>IF($B310="","",'Qredits maandlasten'!$C$8)</f>
        <v/>
      </c>
      <c r="P310" s="129" t="str">
        <f>IF($B310="","",'Qredits maandlasten'!$C$8*(POWER(1+'Qredits maandlasten'!$C$8,$B310-1+1)))</f>
        <v/>
      </c>
      <c r="Q310" s="129" t="str">
        <f t="shared" si="23"/>
        <v/>
      </c>
      <c r="R310" s="127"/>
      <c r="S310" s="128" t="str">
        <f t="shared" si="21"/>
        <v/>
      </c>
      <c r="T310" s="128" t="str">
        <f>IF(S310="","",J310/(POWER(1+'Qredits maandlasten'!$C$8,$B310-1+1)))</f>
        <v/>
      </c>
      <c r="U310" s="130" t="str">
        <f t="shared" si="24"/>
        <v/>
      </c>
      <c r="V310" s="128" t="str">
        <f>IF($B310="","",K310/(POWER(1+'Qredits maandlasten'!$C$8,$B310-1+1)))</f>
        <v/>
      </c>
      <c r="W310" s="127"/>
    </row>
    <row r="311" spans="1:23" s="132" customFormat="1" x14ac:dyDescent="0.2">
      <c r="A311" s="123"/>
      <c r="B311" s="124" t="str">
        <f>IF($B310="","",IF($B310+1&gt;'Qredits maandlasten'!$C$4,"",Schema!B310+1))</f>
        <v/>
      </c>
      <c r="C311" s="125" t="str">
        <f>IF($B310="","",IF($B310+1&gt;'Qredits maandlasten'!$C$4,"",EOMONTH(C310,0)+1))</f>
        <v/>
      </c>
      <c r="D311" s="123"/>
      <c r="E311" s="125" t="str">
        <f>IF($B310="","",IF($B310+1&gt;'Qredits maandlasten'!$C$4,"",F310+1))</f>
        <v/>
      </c>
      <c r="F311" s="125" t="str">
        <f>IF($B310="","",IF($B310+1&gt;'Qredits maandlasten'!$C$4,"",EOMONTH(E311,0)))</f>
        <v/>
      </c>
      <c r="G311" s="126" t="str">
        <f>IF($B310="","",IF($B310+1&gt;'Qredits maandlasten'!$C$4,"",(_xlfn.DAYS(F311,E311)+1)/DAY(F311)))</f>
        <v/>
      </c>
      <c r="H311" s="127"/>
      <c r="I311" s="128" t="str">
        <f>IF($B310="","",IF($B310+1&gt;'Qredits maandlasten'!$C$4,"",I310-J310))</f>
        <v/>
      </c>
      <c r="J311" s="128" t="str">
        <f>IF($B310="","",IF($B310+1&gt;'Qredits maandlasten'!$C$4,"",IF(B310&lt;'Qredits maandlasten'!$C$11-1,0,IF('Qredits maandlasten'!$C$10=dropdowns!$A$121,'Qredits maandlasten'!$J$3,IF('Qredits maandlasten'!$C$10=dropdowns!$A$120,IFERROR('Qredits maandlasten'!$J$3-K311,0),0)))))</f>
        <v/>
      </c>
      <c r="K311" s="128" t="str">
        <f>IF($B310="","",IF($B310+1&gt;'Qredits maandlasten'!$C$4,"",G311*I311*'Qredits maandlasten'!$C$8))</f>
        <v/>
      </c>
      <c r="L311" s="128" t="str">
        <f t="shared" si="22"/>
        <v/>
      </c>
      <c r="M311" s="128" t="str">
        <f t="shared" si="20"/>
        <v/>
      </c>
      <c r="N311" s="127"/>
      <c r="O311" s="129" t="str">
        <f>IF($B311="","",'Qredits maandlasten'!$C$8)</f>
        <v/>
      </c>
      <c r="P311" s="129" t="str">
        <f>IF($B311="","",'Qredits maandlasten'!$C$8*(POWER(1+'Qredits maandlasten'!$C$8,$B311-1+1)))</f>
        <v/>
      </c>
      <c r="Q311" s="129" t="str">
        <f t="shared" si="23"/>
        <v/>
      </c>
      <c r="R311" s="127"/>
      <c r="S311" s="128" t="str">
        <f t="shared" si="21"/>
        <v/>
      </c>
      <c r="T311" s="128" t="str">
        <f>IF(S311="","",J311/(POWER(1+'Qredits maandlasten'!$C$8,$B311-1+1)))</f>
        <v/>
      </c>
      <c r="U311" s="130" t="str">
        <f t="shared" si="24"/>
        <v/>
      </c>
      <c r="V311" s="128" t="str">
        <f>IF($B311="","",K311/(POWER(1+'Qredits maandlasten'!$C$8,$B311-1+1)))</f>
        <v/>
      </c>
      <c r="W311" s="127"/>
    </row>
    <row r="312" spans="1:23" s="132" customFormat="1" x14ac:dyDescent="0.2">
      <c r="A312" s="123"/>
      <c r="B312" s="124" t="str">
        <f>IF($B311="","",IF($B311+1&gt;'Qredits maandlasten'!$C$4,"",Schema!B311+1))</f>
        <v/>
      </c>
      <c r="C312" s="125" t="str">
        <f>IF($B311="","",IF($B311+1&gt;'Qredits maandlasten'!$C$4,"",EOMONTH(C311,0)+1))</f>
        <v/>
      </c>
      <c r="D312" s="123"/>
      <c r="E312" s="125" t="str">
        <f>IF($B311="","",IF($B311+1&gt;'Qredits maandlasten'!$C$4,"",F311+1))</f>
        <v/>
      </c>
      <c r="F312" s="125" t="str">
        <f>IF($B311="","",IF($B311+1&gt;'Qredits maandlasten'!$C$4,"",EOMONTH(E312,0)))</f>
        <v/>
      </c>
      <c r="G312" s="126" t="str">
        <f>IF($B311="","",IF($B311+1&gt;'Qredits maandlasten'!$C$4,"",(_xlfn.DAYS(F312,E312)+1)/DAY(F312)))</f>
        <v/>
      </c>
      <c r="H312" s="127"/>
      <c r="I312" s="128" t="str">
        <f>IF($B311="","",IF($B311+1&gt;'Qredits maandlasten'!$C$4,"",I311-J311))</f>
        <v/>
      </c>
      <c r="J312" s="128" t="str">
        <f>IF($B311="","",IF($B311+1&gt;'Qredits maandlasten'!$C$4,"",IF(B311&lt;'Qredits maandlasten'!$C$11-1,0,IF('Qredits maandlasten'!$C$10=dropdowns!$A$121,'Qredits maandlasten'!$J$3,IF('Qredits maandlasten'!$C$10=dropdowns!$A$120,IFERROR('Qredits maandlasten'!$J$3-K312,0),0)))))</f>
        <v/>
      </c>
      <c r="K312" s="128" t="str">
        <f>IF($B311="","",IF($B311+1&gt;'Qredits maandlasten'!$C$4,"",G312*I312*'Qredits maandlasten'!$C$8))</f>
        <v/>
      </c>
      <c r="L312" s="128" t="str">
        <f t="shared" si="22"/>
        <v/>
      </c>
      <c r="M312" s="128" t="str">
        <f t="shared" si="20"/>
        <v/>
      </c>
      <c r="N312" s="127"/>
      <c r="O312" s="129" t="str">
        <f>IF($B312="","",'Qredits maandlasten'!$C$8)</f>
        <v/>
      </c>
      <c r="P312" s="129" t="str">
        <f>IF($B312="","",'Qredits maandlasten'!$C$8*(POWER(1+'Qredits maandlasten'!$C$8,$B312-1+1)))</f>
        <v/>
      </c>
      <c r="Q312" s="129" t="str">
        <f t="shared" si="23"/>
        <v/>
      </c>
      <c r="R312" s="127"/>
      <c r="S312" s="128" t="str">
        <f t="shared" si="21"/>
        <v/>
      </c>
      <c r="T312" s="128" t="str">
        <f>IF(S312="","",J312/(POWER(1+'Qredits maandlasten'!$C$8,$B312-1+1)))</f>
        <v/>
      </c>
      <c r="U312" s="130" t="str">
        <f t="shared" si="24"/>
        <v/>
      </c>
      <c r="V312" s="128" t="str">
        <f>IF($B312="","",K312/(POWER(1+'Qredits maandlasten'!$C$8,$B312-1+1)))</f>
        <v/>
      </c>
      <c r="W312" s="127"/>
    </row>
    <row r="313" spans="1:23" s="132" customFormat="1" x14ac:dyDescent="0.2">
      <c r="A313" s="123"/>
      <c r="B313" s="124" t="str">
        <f>IF($B312="","",IF($B312+1&gt;'Qredits maandlasten'!$C$4,"",Schema!B312+1))</f>
        <v/>
      </c>
      <c r="C313" s="125" t="str">
        <f>IF($B312="","",IF($B312+1&gt;'Qredits maandlasten'!$C$4,"",EOMONTH(C312,0)+1))</f>
        <v/>
      </c>
      <c r="D313" s="123"/>
      <c r="E313" s="125" t="str">
        <f>IF($B312="","",IF($B312+1&gt;'Qredits maandlasten'!$C$4,"",F312+1))</f>
        <v/>
      </c>
      <c r="F313" s="125" t="str">
        <f>IF($B312="","",IF($B312+1&gt;'Qredits maandlasten'!$C$4,"",EOMONTH(E313,0)))</f>
        <v/>
      </c>
      <c r="G313" s="126" t="str">
        <f>IF($B312="","",IF($B312+1&gt;'Qredits maandlasten'!$C$4,"",(_xlfn.DAYS(F313,E313)+1)/DAY(F313)))</f>
        <v/>
      </c>
      <c r="H313" s="127"/>
      <c r="I313" s="128" t="str">
        <f>IF($B312="","",IF($B312+1&gt;'Qredits maandlasten'!$C$4,"",I312-J312))</f>
        <v/>
      </c>
      <c r="J313" s="128" t="str">
        <f>IF($B312="","",IF($B312+1&gt;'Qredits maandlasten'!$C$4,"",IF(B312&lt;'Qredits maandlasten'!$C$11-1,0,IF('Qredits maandlasten'!$C$10=dropdowns!$A$121,'Qredits maandlasten'!$J$3,IF('Qredits maandlasten'!$C$10=dropdowns!$A$120,IFERROR('Qredits maandlasten'!$J$3-K313,0),0)))))</f>
        <v/>
      </c>
      <c r="K313" s="128" t="str">
        <f>IF($B312="","",IF($B312+1&gt;'Qredits maandlasten'!$C$4,"",G313*I313*'Qredits maandlasten'!$C$8))</f>
        <v/>
      </c>
      <c r="L313" s="128" t="str">
        <f t="shared" si="22"/>
        <v/>
      </c>
      <c r="M313" s="128" t="str">
        <f t="shared" si="20"/>
        <v/>
      </c>
      <c r="N313" s="127"/>
      <c r="O313" s="129" t="str">
        <f>IF($B313="","",'Qredits maandlasten'!$C$8)</f>
        <v/>
      </c>
      <c r="P313" s="129" t="str">
        <f>IF($B313="","",'Qredits maandlasten'!$C$8*(POWER(1+'Qredits maandlasten'!$C$8,$B313-1+1)))</f>
        <v/>
      </c>
      <c r="Q313" s="129" t="str">
        <f t="shared" si="23"/>
        <v/>
      </c>
      <c r="R313" s="127"/>
      <c r="S313" s="128" t="str">
        <f t="shared" si="21"/>
        <v/>
      </c>
      <c r="T313" s="128" t="str">
        <f>IF(S313="","",J313/(POWER(1+'Qredits maandlasten'!$C$8,$B313-1+1)))</f>
        <v/>
      </c>
      <c r="U313" s="130" t="str">
        <f t="shared" si="24"/>
        <v/>
      </c>
      <c r="V313" s="128" t="str">
        <f>IF($B313="","",K313/(POWER(1+'Qredits maandlasten'!$C$8,$B313-1+1)))</f>
        <v/>
      </c>
      <c r="W313" s="127"/>
    </row>
    <row r="314" spans="1:23" s="132" customFormat="1" x14ac:dyDescent="0.2">
      <c r="A314" s="123"/>
      <c r="B314" s="124" t="str">
        <f>IF($B313="","",IF($B313+1&gt;'Qredits maandlasten'!$C$4,"",Schema!B313+1))</f>
        <v/>
      </c>
      <c r="C314" s="125" t="str">
        <f>IF($B313="","",IF($B313+1&gt;'Qredits maandlasten'!$C$4,"",EOMONTH(C313,0)+1))</f>
        <v/>
      </c>
      <c r="D314" s="123"/>
      <c r="E314" s="125" t="str">
        <f>IF($B313="","",IF($B313+1&gt;'Qredits maandlasten'!$C$4,"",F313+1))</f>
        <v/>
      </c>
      <c r="F314" s="125" t="str">
        <f>IF($B313="","",IF($B313+1&gt;'Qredits maandlasten'!$C$4,"",EOMONTH(E314,0)))</f>
        <v/>
      </c>
      <c r="G314" s="126" t="str">
        <f>IF($B313="","",IF($B313+1&gt;'Qredits maandlasten'!$C$4,"",(_xlfn.DAYS(F314,E314)+1)/DAY(F314)))</f>
        <v/>
      </c>
      <c r="H314" s="127"/>
      <c r="I314" s="128" t="str">
        <f>IF($B313="","",IF($B313+1&gt;'Qredits maandlasten'!$C$4,"",I313-J313))</f>
        <v/>
      </c>
      <c r="J314" s="128" t="str">
        <f>IF($B313="","",IF($B313+1&gt;'Qredits maandlasten'!$C$4,"",IF(B313&lt;'Qredits maandlasten'!$C$11-1,0,IF('Qredits maandlasten'!$C$10=dropdowns!$A$121,'Qredits maandlasten'!$J$3,IF('Qredits maandlasten'!$C$10=dropdowns!$A$120,IFERROR('Qredits maandlasten'!$J$3-K314,0),0)))))</f>
        <v/>
      </c>
      <c r="K314" s="128" t="str">
        <f>IF($B313="","",IF($B313+1&gt;'Qredits maandlasten'!$C$4,"",G314*I314*'Qredits maandlasten'!$C$8))</f>
        <v/>
      </c>
      <c r="L314" s="128" t="str">
        <f t="shared" si="22"/>
        <v/>
      </c>
      <c r="M314" s="128" t="str">
        <f t="shared" si="20"/>
        <v/>
      </c>
      <c r="N314" s="127"/>
      <c r="O314" s="129" t="str">
        <f>IF($B314="","",'Qredits maandlasten'!$C$8)</f>
        <v/>
      </c>
      <c r="P314" s="129" t="str">
        <f>IF($B314="","",'Qredits maandlasten'!$C$8*(POWER(1+'Qredits maandlasten'!$C$8,$B314-1+1)))</f>
        <v/>
      </c>
      <c r="Q314" s="129" t="str">
        <f t="shared" si="23"/>
        <v/>
      </c>
      <c r="R314" s="127"/>
      <c r="S314" s="128" t="str">
        <f t="shared" si="21"/>
        <v/>
      </c>
      <c r="T314" s="128" t="str">
        <f>IF(S314="","",J314/(POWER(1+'Qredits maandlasten'!$C$8,$B314-1+1)))</f>
        <v/>
      </c>
      <c r="U314" s="130" t="str">
        <f t="shared" si="24"/>
        <v/>
      </c>
      <c r="V314" s="128" t="str">
        <f>IF($B314="","",K314/(POWER(1+'Qredits maandlasten'!$C$8,$B314-1+1)))</f>
        <v/>
      </c>
      <c r="W314" s="127"/>
    </row>
    <row r="315" spans="1:23" s="132" customFormat="1" x14ac:dyDescent="0.2">
      <c r="A315" s="123"/>
      <c r="B315" s="124" t="str">
        <f>IF($B314="","",IF($B314+1&gt;'Qredits maandlasten'!$C$4,"",Schema!B314+1))</f>
        <v/>
      </c>
      <c r="C315" s="125" t="str">
        <f>IF($B314="","",IF($B314+1&gt;'Qredits maandlasten'!$C$4,"",EOMONTH(C314,0)+1))</f>
        <v/>
      </c>
      <c r="D315" s="123"/>
      <c r="E315" s="125" t="str">
        <f>IF($B314="","",IF($B314+1&gt;'Qredits maandlasten'!$C$4,"",F314+1))</f>
        <v/>
      </c>
      <c r="F315" s="125" t="str">
        <f>IF($B314="","",IF($B314+1&gt;'Qredits maandlasten'!$C$4,"",EOMONTH(E315,0)))</f>
        <v/>
      </c>
      <c r="G315" s="126" t="str">
        <f>IF($B314="","",IF($B314+1&gt;'Qredits maandlasten'!$C$4,"",(_xlfn.DAYS(F315,E315)+1)/DAY(F315)))</f>
        <v/>
      </c>
      <c r="H315" s="127"/>
      <c r="I315" s="128" t="str">
        <f>IF($B314="","",IF($B314+1&gt;'Qredits maandlasten'!$C$4,"",I314-J314))</f>
        <v/>
      </c>
      <c r="J315" s="128" t="str">
        <f>IF($B314="","",IF($B314+1&gt;'Qredits maandlasten'!$C$4,"",IF(B314&lt;'Qredits maandlasten'!$C$11-1,0,IF('Qredits maandlasten'!$C$10=dropdowns!$A$121,'Qredits maandlasten'!$J$3,IF('Qredits maandlasten'!$C$10=dropdowns!$A$120,IFERROR('Qredits maandlasten'!$J$3-K315,0),0)))))</f>
        <v/>
      </c>
      <c r="K315" s="128" t="str">
        <f>IF($B314="","",IF($B314+1&gt;'Qredits maandlasten'!$C$4,"",G315*I315*'Qredits maandlasten'!$C$8))</f>
        <v/>
      </c>
      <c r="L315" s="128" t="str">
        <f t="shared" si="22"/>
        <v/>
      </c>
      <c r="M315" s="128" t="str">
        <f t="shared" si="20"/>
        <v/>
      </c>
      <c r="N315" s="127"/>
      <c r="O315" s="129" t="str">
        <f>IF($B315="","",'Qredits maandlasten'!$C$8)</f>
        <v/>
      </c>
      <c r="P315" s="129" t="str">
        <f>IF($B315="","",'Qredits maandlasten'!$C$8*(POWER(1+'Qredits maandlasten'!$C$8,$B315-1+1)))</f>
        <v/>
      </c>
      <c r="Q315" s="129" t="str">
        <f t="shared" si="23"/>
        <v/>
      </c>
      <c r="R315" s="127"/>
      <c r="S315" s="128" t="str">
        <f t="shared" si="21"/>
        <v/>
      </c>
      <c r="T315" s="128" t="str">
        <f>IF(S315="","",J315/(POWER(1+'Qredits maandlasten'!$C$8,$B315-1+1)))</f>
        <v/>
      </c>
      <c r="U315" s="130" t="str">
        <f t="shared" si="24"/>
        <v/>
      </c>
      <c r="V315" s="128" t="str">
        <f>IF($B315="","",K315/(POWER(1+'Qredits maandlasten'!$C$8,$B315-1+1)))</f>
        <v/>
      </c>
      <c r="W315" s="127"/>
    </row>
    <row r="316" spans="1:23" s="132" customFormat="1" x14ac:dyDescent="0.2">
      <c r="A316" s="123"/>
      <c r="B316" s="124" t="str">
        <f>IF($B315="","",IF($B315+1&gt;'Qredits maandlasten'!$C$4,"",Schema!B315+1))</f>
        <v/>
      </c>
      <c r="C316" s="125" t="str">
        <f>IF($B315="","",IF($B315+1&gt;'Qredits maandlasten'!$C$4,"",EOMONTH(C315,0)+1))</f>
        <v/>
      </c>
      <c r="D316" s="123"/>
      <c r="E316" s="125" t="str">
        <f>IF($B315="","",IF($B315+1&gt;'Qredits maandlasten'!$C$4,"",F315+1))</f>
        <v/>
      </c>
      <c r="F316" s="125" t="str">
        <f>IF($B315="","",IF($B315+1&gt;'Qredits maandlasten'!$C$4,"",EOMONTH(E316,0)))</f>
        <v/>
      </c>
      <c r="G316" s="126" t="str">
        <f>IF($B315="","",IF($B315+1&gt;'Qredits maandlasten'!$C$4,"",(_xlfn.DAYS(F316,E316)+1)/DAY(F316)))</f>
        <v/>
      </c>
      <c r="H316" s="127"/>
      <c r="I316" s="128" t="str">
        <f>IF($B315="","",IF($B315+1&gt;'Qredits maandlasten'!$C$4,"",I315-J315))</f>
        <v/>
      </c>
      <c r="J316" s="128" t="str">
        <f>IF($B315="","",IF($B315+1&gt;'Qredits maandlasten'!$C$4,"",IF(B315&lt;'Qredits maandlasten'!$C$11-1,0,IF('Qredits maandlasten'!$C$10=dropdowns!$A$121,'Qredits maandlasten'!$J$3,IF('Qredits maandlasten'!$C$10=dropdowns!$A$120,IFERROR('Qredits maandlasten'!$J$3-K316,0),0)))))</f>
        <v/>
      </c>
      <c r="K316" s="128" t="str">
        <f>IF($B315="","",IF($B315+1&gt;'Qredits maandlasten'!$C$4,"",G316*I316*'Qredits maandlasten'!$C$8))</f>
        <v/>
      </c>
      <c r="L316" s="128" t="str">
        <f t="shared" si="22"/>
        <v/>
      </c>
      <c r="M316" s="128" t="str">
        <f t="shared" si="20"/>
        <v/>
      </c>
      <c r="N316" s="127"/>
      <c r="O316" s="129" t="str">
        <f>IF($B316="","",'Qredits maandlasten'!$C$8)</f>
        <v/>
      </c>
      <c r="P316" s="129" t="str">
        <f>IF($B316="","",'Qredits maandlasten'!$C$8*(POWER(1+'Qredits maandlasten'!$C$8,$B316-1+1)))</f>
        <v/>
      </c>
      <c r="Q316" s="129" t="str">
        <f t="shared" si="23"/>
        <v/>
      </c>
      <c r="R316" s="127"/>
      <c r="S316" s="128" t="str">
        <f t="shared" si="21"/>
        <v/>
      </c>
      <c r="T316" s="128" t="str">
        <f>IF(S316="","",J316/(POWER(1+'Qredits maandlasten'!$C$8,$B316-1+1)))</f>
        <v/>
      </c>
      <c r="U316" s="130" t="str">
        <f t="shared" si="24"/>
        <v/>
      </c>
      <c r="V316" s="128" t="str">
        <f>IF($B316="","",K316/(POWER(1+'Qredits maandlasten'!$C$8,$B316-1+1)))</f>
        <v/>
      </c>
      <c r="W316" s="127"/>
    </row>
    <row r="317" spans="1:23" s="132" customFormat="1" x14ac:dyDescent="0.2">
      <c r="A317" s="123"/>
      <c r="B317" s="124" t="str">
        <f>IF($B316="","",IF($B316+1&gt;'Qredits maandlasten'!$C$4,"",Schema!B316+1))</f>
        <v/>
      </c>
      <c r="C317" s="125" t="str">
        <f>IF($B316="","",IF($B316+1&gt;'Qredits maandlasten'!$C$4,"",EOMONTH(C316,0)+1))</f>
        <v/>
      </c>
      <c r="D317" s="123"/>
      <c r="E317" s="125" t="str">
        <f>IF($B316="","",IF($B316+1&gt;'Qredits maandlasten'!$C$4,"",F316+1))</f>
        <v/>
      </c>
      <c r="F317" s="125" t="str">
        <f>IF($B316="","",IF($B316+1&gt;'Qredits maandlasten'!$C$4,"",EOMONTH(E317,0)))</f>
        <v/>
      </c>
      <c r="G317" s="126" t="str">
        <f>IF($B316="","",IF($B316+1&gt;'Qredits maandlasten'!$C$4,"",(_xlfn.DAYS(F317,E317)+1)/DAY(F317)))</f>
        <v/>
      </c>
      <c r="H317" s="127"/>
      <c r="I317" s="128" t="str">
        <f>IF($B316="","",IF($B316+1&gt;'Qredits maandlasten'!$C$4,"",I316-J316))</f>
        <v/>
      </c>
      <c r="J317" s="128" t="str">
        <f>IF($B316="","",IF($B316+1&gt;'Qredits maandlasten'!$C$4,"",IF(B316&lt;'Qredits maandlasten'!$C$11-1,0,IF('Qredits maandlasten'!$C$10=dropdowns!$A$121,'Qredits maandlasten'!$J$3,IF('Qredits maandlasten'!$C$10=dropdowns!$A$120,IFERROR('Qredits maandlasten'!$J$3-K317,0),0)))))</f>
        <v/>
      </c>
      <c r="K317" s="128" t="str">
        <f>IF($B316="","",IF($B316+1&gt;'Qredits maandlasten'!$C$4,"",G317*I317*'Qredits maandlasten'!$C$8))</f>
        <v/>
      </c>
      <c r="L317" s="128" t="str">
        <f t="shared" si="22"/>
        <v/>
      </c>
      <c r="M317" s="128" t="str">
        <f t="shared" si="20"/>
        <v/>
      </c>
      <c r="N317" s="127"/>
      <c r="O317" s="129" t="str">
        <f>IF($B317="","",'Qredits maandlasten'!$C$8)</f>
        <v/>
      </c>
      <c r="P317" s="129" t="str">
        <f>IF($B317="","",'Qredits maandlasten'!$C$8*(POWER(1+'Qredits maandlasten'!$C$8,$B317-1+1)))</f>
        <v/>
      </c>
      <c r="Q317" s="129" t="str">
        <f t="shared" si="23"/>
        <v/>
      </c>
      <c r="R317" s="127"/>
      <c r="S317" s="128" t="str">
        <f t="shared" si="21"/>
        <v/>
      </c>
      <c r="T317" s="128" t="str">
        <f>IF(S317="","",J317/(POWER(1+'Qredits maandlasten'!$C$8,$B317-1+1)))</f>
        <v/>
      </c>
      <c r="U317" s="130" t="str">
        <f t="shared" si="24"/>
        <v/>
      </c>
      <c r="V317" s="128" t="str">
        <f>IF($B317="","",K317/(POWER(1+'Qredits maandlasten'!$C$8,$B317-1+1)))</f>
        <v/>
      </c>
      <c r="W317" s="127"/>
    </row>
    <row r="318" spans="1:23" s="132" customFormat="1" x14ac:dyDescent="0.2">
      <c r="A318" s="123"/>
      <c r="B318" s="124" t="str">
        <f>IF($B317="","",IF($B317+1&gt;'Qredits maandlasten'!$C$4,"",Schema!B317+1))</f>
        <v/>
      </c>
      <c r="C318" s="125" t="str">
        <f>IF($B317="","",IF($B317+1&gt;'Qredits maandlasten'!$C$4,"",EOMONTH(C317,0)+1))</f>
        <v/>
      </c>
      <c r="D318" s="123"/>
      <c r="E318" s="125" t="str">
        <f>IF($B317="","",IF($B317+1&gt;'Qredits maandlasten'!$C$4,"",F317+1))</f>
        <v/>
      </c>
      <c r="F318" s="125" t="str">
        <f>IF($B317="","",IF($B317+1&gt;'Qredits maandlasten'!$C$4,"",EOMONTH(E318,0)))</f>
        <v/>
      </c>
      <c r="G318" s="126" t="str">
        <f>IF($B317="","",IF($B317+1&gt;'Qredits maandlasten'!$C$4,"",(_xlfn.DAYS(F318,E318)+1)/DAY(F318)))</f>
        <v/>
      </c>
      <c r="H318" s="127"/>
      <c r="I318" s="128" t="str">
        <f>IF($B317="","",IF($B317+1&gt;'Qredits maandlasten'!$C$4,"",I317-J317))</f>
        <v/>
      </c>
      <c r="J318" s="128" t="str">
        <f>IF($B317="","",IF($B317+1&gt;'Qredits maandlasten'!$C$4,"",IF(B317&lt;'Qredits maandlasten'!$C$11-1,0,IF('Qredits maandlasten'!$C$10=dropdowns!$A$121,'Qredits maandlasten'!$J$3,IF('Qredits maandlasten'!$C$10=dropdowns!$A$120,IFERROR('Qredits maandlasten'!$J$3-K318,0),0)))))</f>
        <v/>
      </c>
      <c r="K318" s="128" t="str">
        <f>IF($B317="","",IF($B317+1&gt;'Qredits maandlasten'!$C$4,"",G318*I318*'Qredits maandlasten'!$C$8))</f>
        <v/>
      </c>
      <c r="L318" s="128" t="str">
        <f t="shared" si="22"/>
        <v/>
      </c>
      <c r="M318" s="128" t="str">
        <f t="shared" si="20"/>
        <v/>
      </c>
      <c r="N318" s="127"/>
      <c r="O318" s="129" t="str">
        <f>IF($B318="","",'Qredits maandlasten'!$C$8)</f>
        <v/>
      </c>
      <c r="P318" s="129" t="str">
        <f>IF($B318="","",'Qredits maandlasten'!$C$8*(POWER(1+'Qredits maandlasten'!$C$8,$B318-1+1)))</f>
        <v/>
      </c>
      <c r="Q318" s="129" t="str">
        <f t="shared" si="23"/>
        <v/>
      </c>
      <c r="R318" s="127"/>
      <c r="S318" s="128" t="str">
        <f t="shared" si="21"/>
        <v/>
      </c>
      <c r="T318" s="128" t="str">
        <f>IF(S318="","",J318/(POWER(1+'Qredits maandlasten'!$C$8,$B318-1+1)))</f>
        <v/>
      </c>
      <c r="U318" s="130" t="str">
        <f t="shared" si="24"/>
        <v/>
      </c>
      <c r="V318" s="128" t="str">
        <f>IF($B318="","",K318/(POWER(1+'Qredits maandlasten'!$C$8,$B318-1+1)))</f>
        <v/>
      </c>
      <c r="W318" s="127"/>
    </row>
    <row r="319" spans="1:23" s="132" customFormat="1" x14ac:dyDescent="0.2">
      <c r="A319" s="123"/>
      <c r="B319" s="124" t="str">
        <f>IF($B318="","",IF($B318+1&gt;'Qredits maandlasten'!$C$4,"",Schema!B318+1))</f>
        <v/>
      </c>
      <c r="C319" s="125" t="str">
        <f>IF($B318="","",IF($B318+1&gt;'Qredits maandlasten'!$C$4,"",EOMONTH(C318,0)+1))</f>
        <v/>
      </c>
      <c r="D319" s="123"/>
      <c r="E319" s="125" t="str">
        <f>IF($B318="","",IF($B318+1&gt;'Qredits maandlasten'!$C$4,"",F318+1))</f>
        <v/>
      </c>
      <c r="F319" s="125" t="str">
        <f>IF($B318="","",IF($B318+1&gt;'Qredits maandlasten'!$C$4,"",EOMONTH(E319,0)))</f>
        <v/>
      </c>
      <c r="G319" s="126" t="str">
        <f>IF($B318="","",IF($B318+1&gt;'Qredits maandlasten'!$C$4,"",(_xlfn.DAYS(F319,E319)+1)/DAY(F319)))</f>
        <v/>
      </c>
      <c r="H319" s="127"/>
      <c r="I319" s="128" t="str">
        <f>IF($B318="","",IF($B318+1&gt;'Qredits maandlasten'!$C$4,"",I318-J318))</f>
        <v/>
      </c>
      <c r="J319" s="128" t="str">
        <f>IF($B318="","",IF($B318+1&gt;'Qredits maandlasten'!$C$4,"",IF(B318&lt;'Qredits maandlasten'!$C$11-1,0,IF('Qredits maandlasten'!$C$10=dropdowns!$A$121,'Qredits maandlasten'!$J$3,IF('Qredits maandlasten'!$C$10=dropdowns!$A$120,IFERROR('Qredits maandlasten'!$J$3-K319,0),0)))))</f>
        <v/>
      </c>
      <c r="K319" s="128" t="str">
        <f>IF($B318="","",IF($B318+1&gt;'Qredits maandlasten'!$C$4,"",G319*I319*'Qredits maandlasten'!$C$8))</f>
        <v/>
      </c>
      <c r="L319" s="128" t="str">
        <f t="shared" si="22"/>
        <v/>
      </c>
      <c r="M319" s="128" t="str">
        <f t="shared" si="20"/>
        <v/>
      </c>
      <c r="N319" s="127"/>
      <c r="O319" s="129" t="str">
        <f>IF($B319="","",'Qredits maandlasten'!$C$8)</f>
        <v/>
      </c>
      <c r="P319" s="129" t="str">
        <f>IF($B319="","",'Qredits maandlasten'!$C$8*(POWER(1+'Qredits maandlasten'!$C$8,$B319-1+1)))</f>
        <v/>
      </c>
      <c r="Q319" s="129" t="str">
        <f t="shared" si="23"/>
        <v/>
      </c>
      <c r="R319" s="127"/>
      <c r="S319" s="128" t="str">
        <f t="shared" si="21"/>
        <v/>
      </c>
      <c r="T319" s="128" t="str">
        <f>IF(S319="","",J319/(POWER(1+'Qredits maandlasten'!$C$8,$B319-1+1)))</f>
        <v/>
      </c>
      <c r="U319" s="130" t="str">
        <f t="shared" si="24"/>
        <v/>
      </c>
      <c r="V319" s="128" t="str">
        <f>IF($B319="","",K319/(POWER(1+'Qredits maandlasten'!$C$8,$B319-1+1)))</f>
        <v/>
      </c>
      <c r="W319" s="127"/>
    </row>
    <row r="320" spans="1:23" s="132" customFormat="1" x14ac:dyDescent="0.2">
      <c r="A320" s="123"/>
      <c r="B320" s="124" t="str">
        <f>IF($B319="","",IF($B319+1&gt;'Qredits maandlasten'!$C$4,"",Schema!B319+1))</f>
        <v/>
      </c>
      <c r="C320" s="125" t="str">
        <f>IF($B319="","",IF($B319+1&gt;'Qredits maandlasten'!$C$4,"",EOMONTH(C319,0)+1))</f>
        <v/>
      </c>
      <c r="D320" s="123"/>
      <c r="E320" s="125" t="str">
        <f>IF($B319="","",IF($B319+1&gt;'Qredits maandlasten'!$C$4,"",F319+1))</f>
        <v/>
      </c>
      <c r="F320" s="125" t="str">
        <f>IF($B319="","",IF($B319+1&gt;'Qredits maandlasten'!$C$4,"",EOMONTH(E320,0)))</f>
        <v/>
      </c>
      <c r="G320" s="126" t="str">
        <f>IF($B319="","",IF($B319+1&gt;'Qredits maandlasten'!$C$4,"",(_xlfn.DAYS(F320,E320)+1)/DAY(F320)))</f>
        <v/>
      </c>
      <c r="H320" s="127"/>
      <c r="I320" s="128" t="str">
        <f>IF($B319="","",IF($B319+1&gt;'Qredits maandlasten'!$C$4,"",I319-J319))</f>
        <v/>
      </c>
      <c r="J320" s="128" t="str">
        <f>IF($B319="","",IF($B319+1&gt;'Qredits maandlasten'!$C$4,"",IF(B319&lt;'Qredits maandlasten'!$C$11-1,0,IF('Qredits maandlasten'!$C$10=dropdowns!$A$121,'Qredits maandlasten'!$J$3,IF('Qredits maandlasten'!$C$10=dropdowns!$A$120,IFERROR('Qredits maandlasten'!$J$3-K320,0),0)))))</f>
        <v/>
      </c>
      <c r="K320" s="128" t="str">
        <f>IF($B319="","",IF($B319+1&gt;'Qredits maandlasten'!$C$4,"",G320*I320*'Qredits maandlasten'!$C$8))</f>
        <v/>
      </c>
      <c r="L320" s="128" t="str">
        <f t="shared" si="22"/>
        <v/>
      </c>
      <c r="M320" s="128" t="str">
        <f t="shared" si="20"/>
        <v/>
      </c>
      <c r="N320" s="127"/>
      <c r="O320" s="129" t="str">
        <f>IF($B320="","",'Qredits maandlasten'!$C$8)</f>
        <v/>
      </c>
      <c r="P320" s="129" t="str">
        <f>IF($B320="","",'Qredits maandlasten'!$C$8*(POWER(1+'Qredits maandlasten'!$C$8,$B320-1+1)))</f>
        <v/>
      </c>
      <c r="Q320" s="129" t="str">
        <f t="shared" si="23"/>
        <v/>
      </c>
      <c r="R320" s="127"/>
      <c r="S320" s="128" t="str">
        <f t="shared" si="21"/>
        <v/>
      </c>
      <c r="T320" s="128" t="str">
        <f>IF(S320="","",J320/(POWER(1+'Qredits maandlasten'!$C$8,$B320-1+1)))</f>
        <v/>
      </c>
      <c r="U320" s="130" t="str">
        <f t="shared" si="24"/>
        <v/>
      </c>
      <c r="V320" s="128" t="str">
        <f>IF($B320="","",K320/(POWER(1+'Qredits maandlasten'!$C$8,$B320-1+1)))</f>
        <v/>
      </c>
      <c r="W320" s="127"/>
    </row>
    <row r="321" spans="1:23" s="132" customFormat="1" x14ac:dyDescent="0.2">
      <c r="A321" s="123"/>
      <c r="B321" s="124" t="str">
        <f>IF($B320="","",IF($B320+1&gt;'Qredits maandlasten'!$C$4,"",Schema!B320+1))</f>
        <v/>
      </c>
      <c r="C321" s="125" t="str">
        <f>IF($B320="","",IF($B320+1&gt;'Qredits maandlasten'!$C$4,"",EOMONTH(C320,0)+1))</f>
        <v/>
      </c>
      <c r="D321" s="123"/>
      <c r="E321" s="125" t="str">
        <f>IF($B320="","",IF($B320+1&gt;'Qredits maandlasten'!$C$4,"",F320+1))</f>
        <v/>
      </c>
      <c r="F321" s="125" t="str">
        <f>IF($B320="","",IF($B320+1&gt;'Qredits maandlasten'!$C$4,"",EOMONTH(E321,0)))</f>
        <v/>
      </c>
      <c r="G321" s="126" t="str">
        <f>IF($B320="","",IF($B320+1&gt;'Qredits maandlasten'!$C$4,"",(_xlfn.DAYS(F321,E321)+1)/DAY(F321)))</f>
        <v/>
      </c>
      <c r="H321" s="127"/>
      <c r="I321" s="128" t="str">
        <f>IF($B320="","",IF($B320+1&gt;'Qredits maandlasten'!$C$4,"",I320-J320))</f>
        <v/>
      </c>
      <c r="J321" s="128" t="str">
        <f>IF($B320="","",IF($B320+1&gt;'Qredits maandlasten'!$C$4,"",IF(B320&lt;'Qredits maandlasten'!$C$11-1,0,IF('Qredits maandlasten'!$C$10=dropdowns!$A$121,'Qredits maandlasten'!$J$3,IF('Qredits maandlasten'!$C$10=dropdowns!$A$120,IFERROR('Qredits maandlasten'!$J$3-K321,0),0)))))</f>
        <v/>
      </c>
      <c r="K321" s="128" t="str">
        <f>IF($B320="","",IF($B320+1&gt;'Qredits maandlasten'!$C$4,"",G321*I321*'Qredits maandlasten'!$C$8))</f>
        <v/>
      </c>
      <c r="L321" s="128" t="str">
        <f t="shared" si="22"/>
        <v/>
      </c>
      <c r="M321" s="128" t="str">
        <f t="shared" si="20"/>
        <v/>
      </c>
      <c r="N321" s="127"/>
      <c r="O321" s="129" t="str">
        <f>IF($B321="","",'Qredits maandlasten'!$C$8)</f>
        <v/>
      </c>
      <c r="P321" s="129" t="str">
        <f>IF($B321="","",'Qredits maandlasten'!$C$8*(POWER(1+'Qredits maandlasten'!$C$8,$B321-1+1)))</f>
        <v/>
      </c>
      <c r="Q321" s="129" t="str">
        <f t="shared" si="23"/>
        <v/>
      </c>
      <c r="R321" s="127"/>
      <c r="S321" s="128" t="str">
        <f t="shared" si="21"/>
        <v/>
      </c>
      <c r="T321" s="128" t="str">
        <f>IF(S321="","",J321/(POWER(1+'Qredits maandlasten'!$C$8,$B321-1+1)))</f>
        <v/>
      </c>
      <c r="U321" s="130" t="str">
        <f t="shared" si="24"/>
        <v/>
      </c>
      <c r="V321" s="128" t="str">
        <f>IF($B321="","",K321/(POWER(1+'Qredits maandlasten'!$C$8,$B321-1+1)))</f>
        <v/>
      </c>
      <c r="W321" s="127"/>
    </row>
    <row r="322" spans="1:23" s="132" customFormat="1" x14ac:dyDescent="0.2">
      <c r="A322" s="123"/>
      <c r="B322" s="124" t="str">
        <f>IF($B321="","",IF($B321+1&gt;'Qredits maandlasten'!$C$4,"",Schema!B321+1))</f>
        <v/>
      </c>
      <c r="C322" s="125" t="str">
        <f>IF($B321="","",IF($B321+1&gt;'Qredits maandlasten'!$C$4,"",EOMONTH(C321,0)+1))</f>
        <v/>
      </c>
      <c r="D322" s="123"/>
      <c r="E322" s="125" t="str">
        <f>IF($B321="","",IF($B321+1&gt;'Qredits maandlasten'!$C$4,"",F321+1))</f>
        <v/>
      </c>
      <c r="F322" s="125" t="str">
        <f>IF($B321="","",IF($B321+1&gt;'Qredits maandlasten'!$C$4,"",EOMONTH(E322,0)))</f>
        <v/>
      </c>
      <c r="G322" s="126" t="str">
        <f>IF($B321="","",IF($B321+1&gt;'Qredits maandlasten'!$C$4,"",(_xlfn.DAYS(F322,E322)+1)/DAY(F322)))</f>
        <v/>
      </c>
      <c r="H322" s="127"/>
      <c r="I322" s="128" t="str">
        <f>IF($B321="","",IF($B321+1&gt;'Qredits maandlasten'!$C$4,"",I321-J321))</f>
        <v/>
      </c>
      <c r="J322" s="128" t="str">
        <f>IF($B321="","",IF($B321+1&gt;'Qredits maandlasten'!$C$4,"",IF(B321&lt;'Qredits maandlasten'!$C$11-1,0,IF('Qredits maandlasten'!$C$10=dropdowns!$A$121,'Qredits maandlasten'!$J$3,IF('Qredits maandlasten'!$C$10=dropdowns!$A$120,IFERROR('Qredits maandlasten'!$J$3-K322,0),0)))))</f>
        <v/>
      </c>
      <c r="K322" s="128" t="str">
        <f>IF($B321="","",IF($B321+1&gt;'Qredits maandlasten'!$C$4,"",G322*I322*'Qredits maandlasten'!$C$8))</f>
        <v/>
      </c>
      <c r="L322" s="128" t="str">
        <f t="shared" si="22"/>
        <v/>
      </c>
      <c r="M322" s="128" t="str">
        <f t="shared" si="20"/>
        <v/>
      </c>
      <c r="N322" s="127"/>
      <c r="O322" s="129" t="str">
        <f>IF($B322="","",'Qredits maandlasten'!$C$8)</f>
        <v/>
      </c>
      <c r="P322" s="129" t="str">
        <f>IF($B322="","",'Qredits maandlasten'!$C$8*(POWER(1+'Qredits maandlasten'!$C$8,$B322-1+1)))</f>
        <v/>
      </c>
      <c r="Q322" s="129" t="str">
        <f t="shared" si="23"/>
        <v/>
      </c>
      <c r="R322" s="127"/>
      <c r="S322" s="128" t="str">
        <f t="shared" si="21"/>
        <v/>
      </c>
      <c r="T322" s="128" t="str">
        <f>IF(S322="","",J322/(POWER(1+'Qredits maandlasten'!$C$8,$B322-1+1)))</f>
        <v/>
      </c>
      <c r="U322" s="130" t="str">
        <f t="shared" si="24"/>
        <v/>
      </c>
      <c r="V322" s="128" t="str">
        <f>IF($B322="","",K322/(POWER(1+'Qredits maandlasten'!$C$8,$B322-1+1)))</f>
        <v/>
      </c>
      <c r="W322" s="127"/>
    </row>
    <row r="323" spans="1:23" s="132" customFormat="1" x14ac:dyDescent="0.2">
      <c r="A323" s="123"/>
      <c r="B323" s="124" t="str">
        <f>IF($B322="","",IF($B322+1&gt;'Qredits maandlasten'!$C$4,"",Schema!B322+1))</f>
        <v/>
      </c>
      <c r="C323" s="125" t="str">
        <f>IF($B322="","",IF($B322+1&gt;'Qredits maandlasten'!$C$4,"",EOMONTH(C322,0)+1))</f>
        <v/>
      </c>
      <c r="D323" s="123"/>
      <c r="E323" s="125" t="str">
        <f>IF($B322="","",IF($B322+1&gt;'Qredits maandlasten'!$C$4,"",F322+1))</f>
        <v/>
      </c>
      <c r="F323" s="125" t="str">
        <f>IF($B322="","",IF($B322+1&gt;'Qredits maandlasten'!$C$4,"",EOMONTH(E323,0)))</f>
        <v/>
      </c>
      <c r="G323" s="126" t="str">
        <f>IF($B322="","",IF($B322+1&gt;'Qredits maandlasten'!$C$4,"",(_xlfn.DAYS(F323,E323)+1)/DAY(F323)))</f>
        <v/>
      </c>
      <c r="H323" s="127"/>
      <c r="I323" s="128" t="str">
        <f>IF($B322="","",IF($B322+1&gt;'Qredits maandlasten'!$C$4,"",I322-J322))</f>
        <v/>
      </c>
      <c r="J323" s="128" t="str">
        <f>IF($B322="","",IF($B322+1&gt;'Qredits maandlasten'!$C$4,"",IF(B322&lt;'Qredits maandlasten'!$C$11-1,0,IF('Qredits maandlasten'!$C$10=dropdowns!$A$121,'Qredits maandlasten'!$J$3,IF('Qredits maandlasten'!$C$10=dropdowns!$A$120,IFERROR('Qredits maandlasten'!$J$3-K323,0),0)))))</f>
        <v/>
      </c>
      <c r="K323" s="128" t="str">
        <f>IF($B322="","",IF($B322+1&gt;'Qredits maandlasten'!$C$4,"",G323*I323*'Qredits maandlasten'!$C$8))</f>
        <v/>
      </c>
      <c r="L323" s="128" t="str">
        <f t="shared" si="22"/>
        <v/>
      </c>
      <c r="M323" s="128" t="str">
        <f t="shared" si="20"/>
        <v/>
      </c>
      <c r="N323" s="127"/>
      <c r="O323" s="129" t="str">
        <f>IF($B323="","",'Qredits maandlasten'!$C$8)</f>
        <v/>
      </c>
      <c r="P323" s="129" t="str">
        <f>IF($B323="","",'Qredits maandlasten'!$C$8*(POWER(1+'Qredits maandlasten'!$C$8,$B323-1+1)))</f>
        <v/>
      </c>
      <c r="Q323" s="129" t="str">
        <f t="shared" si="23"/>
        <v/>
      </c>
      <c r="R323" s="127"/>
      <c r="S323" s="128" t="str">
        <f t="shared" si="21"/>
        <v/>
      </c>
      <c r="T323" s="128" t="str">
        <f>IF(S323="","",J323/(POWER(1+'Qredits maandlasten'!$C$8,$B323-1+1)))</f>
        <v/>
      </c>
      <c r="U323" s="130" t="str">
        <f t="shared" si="24"/>
        <v/>
      </c>
      <c r="V323" s="128" t="str">
        <f>IF($B323="","",K323/(POWER(1+'Qredits maandlasten'!$C$8,$B323-1+1)))</f>
        <v/>
      </c>
      <c r="W323" s="127"/>
    </row>
    <row r="324" spans="1:23" s="132" customFormat="1" x14ac:dyDescent="0.2">
      <c r="A324" s="123"/>
      <c r="B324" s="124" t="str">
        <f>IF($B323="","",IF($B323+1&gt;'Qredits maandlasten'!$C$4,"",Schema!B323+1))</f>
        <v/>
      </c>
      <c r="C324" s="125" t="str">
        <f>IF($B323="","",IF($B323+1&gt;'Qredits maandlasten'!$C$4,"",EOMONTH(C323,0)+1))</f>
        <v/>
      </c>
      <c r="D324" s="123"/>
      <c r="E324" s="125" t="str">
        <f>IF($B323="","",IF($B323+1&gt;'Qredits maandlasten'!$C$4,"",F323+1))</f>
        <v/>
      </c>
      <c r="F324" s="125" t="str">
        <f>IF($B323="","",IF($B323+1&gt;'Qredits maandlasten'!$C$4,"",EOMONTH(E324,0)))</f>
        <v/>
      </c>
      <c r="G324" s="126" t="str">
        <f>IF($B323="","",IF($B323+1&gt;'Qredits maandlasten'!$C$4,"",(_xlfn.DAYS(F324,E324)+1)/DAY(F324)))</f>
        <v/>
      </c>
      <c r="H324" s="127"/>
      <c r="I324" s="128" t="str">
        <f>IF($B323="","",IF($B323+1&gt;'Qredits maandlasten'!$C$4,"",I323-J323))</f>
        <v/>
      </c>
      <c r="J324" s="128" t="str">
        <f>IF($B323="","",IF($B323+1&gt;'Qredits maandlasten'!$C$4,"",IF(B323&lt;'Qredits maandlasten'!$C$11-1,0,IF('Qredits maandlasten'!$C$10=dropdowns!$A$121,'Qredits maandlasten'!$J$3,IF('Qredits maandlasten'!$C$10=dropdowns!$A$120,IFERROR('Qredits maandlasten'!$J$3-K324,0),0)))))</f>
        <v/>
      </c>
      <c r="K324" s="128" t="str">
        <f>IF($B323="","",IF($B323+1&gt;'Qredits maandlasten'!$C$4,"",G324*I324*'Qredits maandlasten'!$C$8))</f>
        <v/>
      </c>
      <c r="L324" s="128" t="str">
        <f t="shared" si="22"/>
        <v/>
      </c>
      <c r="M324" s="128" t="str">
        <f t="shared" si="20"/>
        <v/>
      </c>
      <c r="N324" s="127"/>
      <c r="O324" s="129" t="str">
        <f>IF($B324="","",'Qredits maandlasten'!$C$8)</f>
        <v/>
      </c>
      <c r="P324" s="129" t="str">
        <f>IF($B324="","",'Qredits maandlasten'!$C$8*(POWER(1+'Qredits maandlasten'!$C$8,$B324-1+1)))</f>
        <v/>
      </c>
      <c r="Q324" s="129" t="str">
        <f t="shared" si="23"/>
        <v/>
      </c>
      <c r="R324" s="127"/>
      <c r="S324" s="128" t="str">
        <f t="shared" si="21"/>
        <v/>
      </c>
      <c r="T324" s="128" t="str">
        <f>IF(S324="","",J324/(POWER(1+'Qredits maandlasten'!$C$8,$B324-1+1)))</f>
        <v/>
      </c>
      <c r="U324" s="130" t="str">
        <f t="shared" si="24"/>
        <v/>
      </c>
      <c r="V324" s="128" t="str">
        <f>IF($B324="","",K324/(POWER(1+'Qredits maandlasten'!$C$8,$B324-1+1)))</f>
        <v/>
      </c>
      <c r="W324" s="127"/>
    </row>
    <row r="325" spans="1:23" s="132" customFormat="1" x14ac:dyDescent="0.2">
      <c r="A325" s="123"/>
      <c r="B325" s="124" t="str">
        <f>IF($B324="","",IF($B324+1&gt;'Qredits maandlasten'!$C$4,"",Schema!B324+1))</f>
        <v/>
      </c>
      <c r="C325" s="125" t="str">
        <f>IF($B324="","",IF($B324+1&gt;'Qredits maandlasten'!$C$4,"",EOMONTH(C324,0)+1))</f>
        <v/>
      </c>
      <c r="D325" s="123"/>
      <c r="E325" s="125" t="str">
        <f>IF($B324="","",IF($B324+1&gt;'Qredits maandlasten'!$C$4,"",F324+1))</f>
        <v/>
      </c>
      <c r="F325" s="125" t="str">
        <f>IF($B324="","",IF($B324+1&gt;'Qredits maandlasten'!$C$4,"",EOMONTH(E325,0)))</f>
        <v/>
      </c>
      <c r="G325" s="126" t="str">
        <f>IF($B324="","",IF($B324+1&gt;'Qredits maandlasten'!$C$4,"",(_xlfn.DAYS(F325,E325)+1)/DAY(F325)))</f>
        <v/>
      </c>
      <c r="H325" s="127"/>
      <c r="I325" s="128" t="str">
        <f>IF($B324="","",IF($B324+1&gt;'Qredits maandlasten'!$C$4,"",I324-J324))</f>
        <v/>
      </c>
      <c r="J325" s="128" t="str">
        <f>IF($B324="","",IF($B324+1&gt;'Qredits maandlasten'!$C$4,"",IF(B324&lt;'Qredits maandlasten'!$C$11-1,0,IF('Qredits maandlasten'!$C$10=dropdowns!$A$121,'Qredits maandlasten'!$J$3,IF('Qredits maandlasten'!$C$10=dropdowns!$A$120,IFERROR('Qredits maandlasten'!$J$3-K325,0),0)))))</f>
        <v/>
      </c>
      <c r="K325" s="128" t="str">
        <f>IF($B324="","",IF($B324+1&gt;'Qredits maandlasten'!$C$4,"",G325*I325*'Qredits maandlasten'!$C$8))</f>
        <v/>
      </c>
      <c r="L325" s="128" t="str">
        <f t="shared" si="22"/>
        <v/>
      </c>
      <c r="M325" s="128" t="str">
        <f t="shared" si="20"/>
        <v/>
      </c>
      <c r="N325" s="127"/>
      <c r="O325" s="129" t="str">
        <f>IF($B325="","",'Qredits maandlasten'!$C$8)</f>
        <v/>
      </c>
      <c r="P325" s="129" t="str">
        <f>IF($B325="","",'Qredits maandlasten'!$C$8*(POWER(1+'Qredits maandlasten'!$C$8,$B325-1+1)))</f>
        <v/>
      </c>
      <c r="Q325" s="129" t="str">
        <f t="shared" si="23"/>
        <v/>
      </c>
      <c r="R325" s="127"/>
      <c r="S325" s="128" t="str">
        <f t="shared" si="21"/>
        <v/>
      </c>
      <c r="T325" s="128" t="str">
        <f>IF(S325="","",J325/(POWER(1+'Qredits maandlasten'!$C$8,$B325-1+1)))</f>
        <v/>
      </c>
      <c r="U325" s="130" t="str">
        <f t="shared" si="24"/>
        <v/>
      </c>
      <c r="V325" s="128" t="str">
        <f>IF($B325="","",K325/(POWER(1+'Qredits maandlasten'!$C$8,$B325-1+1)))</f>
        <v/>
      </c>
      <c r="W325" s="127"/>
    </row>
    <row r="326" spans="1:23" s="132" customFormat="1" x14ac:dyDescent="0.2">
      <c r="A326" s="123"/>
      <c r="B326" s="124" t="str">
        <f>IF($B325="","",IF($B325+1&gt;'Qredits maandlasten'!$C$4,"",Schema!B325+1))</f>
        <v/>
      </c>
      <c r="C326" s="125" t="str">
        <f>IF($B325="","",IF($B325+1&gt;'Qredits maandlasten'!$C$4,"",EOMONTH(C325,0)+1))</f>
        <v/>
      </c>
      <c r="D326" s="123"/>
      <c r="E326" s="125" t="str">
        <f>IF($B325="","",IF($B325+1&gt;'Qredits maandlasten'!$C$4,"",F325+1))</f>
        <v/>
      </c>
      <c r="F326" s="125" t="str">
        <f>IF($B325="","",IF($B325+1&gt;'Qredits maandlasten'!$C$4,"",EOMONTH(E326,0)))</f>
        <v/>
      </c>
      <c r="G326" s="126" t="str">
        <f>IF($B325="","",IF($B325+1&gt;'Qredits maandlasten'!$C$4,"",(_xlfn.DAYS(F326,E326)+1)/DAY(F326)))</f>
        <v/>
      </c>
      <c r="H326" s="127"/>
      <c r="I326" s="128" t="str">
        <f>IF($B325="","",IF($B325+1&gt;'Qredits maandlasten'!$C$4,"",I325-J325))</f>
        <v/>
      </c>
      <c r="J326" s="128" t="str">
        <f>IF($B325="","",IF($B325+1&gt;'Qredits maandlasten'!$C$4,"",IF(B325&lt;'Qredits maandlasten'!$C$11-1,0,IF('Qredits maandlasten'!$C$10=dropdowns!$A$121,'Qredits maandlasten'!$J$3,IF('Qredits maandlasten'!$C$10=dropdowns!$A$120,IFERROR('Qredits maandlasten'!$J$3-K326,0),0)))))</f>
        <v/>
      </c>
      <c r="K326" s="128" t="str">
        <f>IF($B325="","",IF($B325+1&gt;'Qredits maandlasten'!$C$4,"",G326*I326*'Qredits maandlasten'!$C$8))</f>
        <v/>
      </c>
      <c r="L326" s="128" t="str">
        <f t="shared" si="22"/>
        <v/>
      </c>
      <c r="M326" s="128" t="str">
        <f t="shared" si="20"/>
        <v/>
      </c>
      <c r="N326" s="127"/>
      <c r="O326" s="129" t="str">
        <f>IF($B326="","",'Qredits maandlasten'!$C$8)</f>
        <v/>
      </c>
      <c r="P326" s="129" t="str">
        <f>IF($B326="","",'Qredits maandlasten'!$C$8*(POWER(1+'Qredits maandlasten'!$C$8,$B326-1+1)))</f>
        <v/>
      </c>
      <c r="Q326" s="129" t="str">
        <f t="shared" si="23"/>
        <v/>
      </c>
      <c r="R326" s="127"/>
      <c r="S326" s="128" t="str">
        <f t="shared" si="21"/>
        <v/>
      </c>
      <c r="T326" s="128" t="str">
        <f>IF(S326="","",J326/(POWER(1+'Qredits maandlasten'!$C$8,$B326-1+1)))</f>
        <v/>
      </c>
      <c r="U326" s="130" t="str">
        <f t="shared" si="24"/>
        <v/>
      </c>
      <c r="V326" s="128" t="str">
        <f>IF($B326="","",K326/(POWER(1+'Qredits maandlasten'!$C$8,$B326-1+1)))</f>
        <v/>
      </c>
      <c r="W326" s="127"/>
    </row>
    <row r="327" spans="1:23" s="132" customFormat="1" x14ac:dyDescent="0.2">
      <c r="A327" s="123"/>
      <c r="B327" s="124" t="str">
        <f>IF($B326="","",IF($B326+1&gt;'Qredits maandlasten'!$C$4,"",Schema!B326+1))</f>
        <v/>
      </c>
      <c r="C327" s="125" t="str">
        <f>IF($B326="","",IF($B326+1&gt;'Qredits maandlasten'!$C$4,"",EOMONTH(C326,0)+1))</f>
        <v/>
      </c>
      <c r="D327" s="123"/>
      <c r="E327" s="125" t="str">
        <f>IF($B326="","",IF($B326+1&gt;'Qredits maandlasten'!$C$4,"",F326+1))</f>
        <v/>
      </c>
      <c r="F327" s="125" t="str">
        <f>IF($B326="","",IF($B326+1&gt;'Qredits maandlasten'!$C$4,"",EOMONTH(E327,0)))</f>
        <v/>
      </c>
      <c r="G327" s="126" t="str">
        <f>IF($B326="","",IF($B326+1&gt;'Qredits maandlasten'!$C$4,"",(_xlfn.DAYS(F327,E327)+1)/DAY(F327)))</f>
        <v/>
      </c>
      <c r="H327" s="127"/>
      <c r="I327" s="128" t="str">
        <f>IF($B326="","",IF($B326+1&gt;'Qredits maandlasten'!$C$4,"",I326-J326))</f>
        <v/>
      </c>
      <c r="J327" s="128" t="str">
        <f>IF($B326="","",IF($B326+1&gt;'Qredits maandlasten'!$C$4,"",IF(B326&lt;'Qredits maandlasten'!$C$11-1,0,IF('Qredits maandlasten'!$C$10=dropdowns!$A$121,'Qredits maandlasten'!$J$3,IF('Qredits maandlasten'!$C$10=dropdowns!$A$120,IFERROR('Qredits maandlasten'!$J$3-K327,0),0)))))</f>
        <v/>
      </c>
      <c r="K327" s="128" t="str">
        <f>IF($B326="","",IF($B326+1&gt;'Qredits maandlasten'!$C$4,"",G327*I327*'Qredits maandlasten'!$C$8))</f>
        <v/>
      </c>
      <c r="L327" s="128" t="str">
        <f t="shared" si="22"/>
        <v/>
      </c>
      <c r="M327" s="128" t="str">
        <f t="shared" si="20"/>
        <v/>
      </c>
      <c r="N327" s="127"/>
      <c r="O327" s="129" t="str">
        <f>IF($B327="","",'Qredits maandlasten'!$C$8)</f>
        <v/>
      </c>
      <c r="P327" s="129" t="str">
        <f>IF($B327="","",'Qredits maandlasten'!$C$8*(POWER(1+'Qredits maandlasten'!$C$8,$B327-1+1)))</f>
        <v/>
      </c>
      <c r="Q327" s="129" t="str">
        <f t="shared" si="23"/>
        <v/>
      </c>
      <c r="R327" s="127"/>
      <c r="S327" s="128" t="str">
        <f t="shared" si="21"/>
        <v/>
      </c>
      <c r="T327" s="128" t="str">
        <f>IF(S327="","",J327/(POWER(1+'Qredits maandlasten'!$C$8,$B327-1+1)))</f>
        <v/>
      </c>
      <c r="U327" s="130" t="str">
        <f t="shared" si="24"/>
        <v/>
      </c>
      <c r="V327" s="128" t="str">
        <f>IF($B327="","",K327/(POWER(1+'Qredits maandlasten'!$C$8,$B327-1+1)))</f>
        <v/>
      </c>
      <c r="W327" s="127"/>
    </row>
    <row r="328" spans="1:23" s="132" customFormat="1" x14ac:dyDescent="0.2">
      <c r="A328" s="123"/>
      <c r="B328" s="124" t="str">
        <f>IF($B327="","",IF($B327+1&gt;'Qredits maandlasten'!$C$4,"",Schema!B327+1))</f>
        <v/>
      </c>
      <c r="C328" s="125" t="str">
        <f>IF($B327="","",IF($B327+1&gt;'Qredits maandlasten'!$C$4,"",EOMONTH(C327,0)+1))</f>
        <v/>
      </c>
      <c r="D328" s="123"/>
      <c r="E328" s="125" t="str">
        <f>IF($B327="","",IF($B327+1&gt;'Qredits maandlasten'!$C$4,"",F327+1))</f>
        <v/>
      </c>
      <c r="F328" s="125" t="str">
        <f>IF($B327="","",IF($B327+1&gt;'Qredits maandlasten'!$C$4,"",EOMONTH(E328,0)))</f>
        <v/>
      </c>
      <c r="G328" s="126" t="str">
        <f>IF($B327="","",IF($B327+1&gt;'Qredits maandlasten'!$C$4,"",(_xlfn.DAYS(F328,E328)+1)/DAY(F328)))</f>
        <v/>
      </c>
      <c r="H328" s="127"/>
      <c r="I328" s="128" t="str">
        <f>IF($B327="","",IF($B327+1&gt;'Qredits maandlasten'!$C$4,"",I327-J327))</f>
        <v/>
      </c>
      <c r="J328" s="128" t="str">
        <f>IF($B327="","",IF($B327+1&gt;'Qredits maandlasten'!$C$4,"",IF(B327&lt;'Qredits maandlasten'!$C$11-1,0,IF('Qredits maandlasten'!$C$10=dropdowns!$A$121,'Qredits maandlasten'!$J$3,IF('Qredits maandlasten'!$C$10=dropdowns!$A$120,IFERROR('Qredits maandlasten'!$J$3-K328,0),0)))))</f>
        <v/>
      </c>
      <c r="K328" s="128" t="str">
        <f>IF($B327="","",IF($B327+1&gt;'Qredits maandlasten'!$C$4,"",G328*I328*'Qredits maandlasten'!$C$8))</f>
        <v/>
      </c>
      <c r="L328" s="128" t="str">
        <f t="shared" si="22"/>
        <v/>
      </c>
      <c r="M328" s="128" t="str">
        <f t="shared" si="20"/>
        <v/>
      </c>
      <c r="N328" s="127"/>
      <c r="O328" s="129" t="str">
        <f>IF($B328="","",'Qredits maandlasten'!$C$8)</f>
        <v/>
      </c>
      <c r="P328" s="129" t="str">
        <f>IF($B328="","",'Qredits maandlasten'!$C$8*(POWER(1+'Qredits maandlasten'!$C$8,$B328-1+1)))</f>
        <v/>
      </c>
      <c r="Q328" s="129" t="str">
        <f t="shared" si="23"/>
        <v/>
      </c>
      <c r="R328" s="127"/>
      <c r="S328" s="128" t="str">
        <f t="shared" si="21"/>
        <v/>
      </c>
      <c r="T328" s="128" t="str">
        <f>IF(S328="","",J328/(POWER(1+'Qredits maandlasten'!$C$8,$B328-1+1)))</f>
        <v/>
      </c>
      <c r="U328" s="130" t="str">
        <f t="shared" si="24"/>
        <v/>
      </c>
      <c r="V328" s="128" t="str">
        <f>IF($B328="","",K328/(POWER(1+'Qredits maandlasten'!$C$8,$B328-1+1)))</f>
        <v/>
      </c>
      <c r="W328" s="127"/>
    </row>
    <row r="329" spans="1:23" s="132" customFormat="1" x14ac:dyDescent="0.2">
      <c r="A329" s="123"/>
      <c r="B329" s="124" t="str">
        <f>IF($B328="","",IF($B328+1&gt;'Qredits maandlasten'!$C$4,"",Schema!B328+1))</f>
        <v/>
      </c>
      <c r="C329" s="125" t="str">
        <f>IF($B328="","",IF($B328+1&gt;'Qredits maandlasten'!$C$4,"",EOMONTH(C328,0)+1))</f>
        <v/>
      </c>
      <c r="D329" s="123"/>
      <c r="E329" s="125" t="str">
        <f>IF($B328="","",IF($B328+1&gt;'Qredits maandlasten'!$C$4,"",F328+1))</f>
        <v/>
      </c>
      <c r="F329" s="125" t="str">
        <f>IF($B328="","",IF($B328+1&gt;'Qredits maandlasten'!$C$4,"",EOMONTH(E329,0)))</f>
        <v/>
      </c>
      <c r="G329" s="126" t="str">
        <f>IF($B328="","",IF($B328+1&gt;'Qredits maandlasten'!$C$4,"",(_xlfn.DAYS(F329,E329)+1)/DAY(F329)))</f>
        <v/>
      </c>
      <c r="H329" s="127"/>
      <c r="I329" s="128" t="str">
        <f>IF($B328="","",IF($B328+1&gt;'Qredits maandlasten'!$C$4,"",I328-J328))</f>
        <v/>
      </c>
      <c r="J329" s="128" t="str">
        <f>IF($B328="","",IF($B328+1&gt;'Qredits maandlasten'!$C$4,"",IF(B328&lt;'Qredits maandlasten'!$C$11-1,0,IF('Qredits maandlasten'!$C$10=dropdowns!$A$121,'Qredits maandlasten'!$J$3,IF('Qredits maandlasten'!$C$10=dropdowns!$A$120,IFERROR('Qredits maandlasten'!$J$3-K329,0),0)))))</f>
        <v/>
      </c>
      <c r="K329" s="128" t="str">
        <f>IF($B328="","",IF($B328+1&gt;'Qredits maandlasten'!$C$4,"",G329*I329*'Qredits maandlasten'!$C$8))</f>
        <v/>
      </c>
      <c r="L329" s="128" t="str">
        <f t="shared" si="22"/>
        <v/>
      </c>
      <c r="M329" s="128" t="str">
        <f t="shared" si="20"/>
        <v/>
      </c>
      <c r="N329" s="127"/>
      <c r="O329" s="129" t="str">
        <f>IF($B329="","",'Qredits maandlasten'!$C$8)</f>
        <v/>
      </c>
      <c r="P329" s="129" t="str">
        <f>IF($B329="","",'Qredits maandlasten'!$C$8*(POWER(1+'Qredits maandlasten'!$C$8,$B329-1+1)))</f>
        <v/>
      </c>
      <c r="Q329" s="129" t="str">
        <f t="shared" si="23"/>
        <v/>
      </c>
      <c r="R329" s="127"/>
      <c r="S329" s="128" t="str">
        <f t="shared" si="21"/>
        <v/>
      </c>
      <c r="T329" s="128" t="str">
        <f>IF(S329="","",J329/(POWER(1+'Qredits maandlasten'!$C$8,$B329-1+1)))</f>
        <v/>
      </c>
      <c r="U329" s="130" t="str">
        <f t="shared" si="24"/>
        <v/>
      </c>
      <c r="V329" s="128" t="str">
        <f>IF($B329="","",K329/(POWER(1+'Qredits maandlasten'!$C$8,$B329-1+1)))</f>
        <v/>
      </c>
      <c r="W329" s="127"/>
    </row>
    <row r="330" spans="1:23" s="132" customFormat="1" x14ac:dyDescent="0.2">
      <c r="A330" s="123"/>
      <c r="B330" s="124" t="str">
        <f>IF($B329="","",IF($B329+1&gt;'Qredits maandlasten'!$C$4,"",Schema!B329+1))</f>
        <v/>
      </c>
      <c r="C330" s="125" t="str">
        <f>IF($B329="","",IF($B329+1&gt;'Qredits maandlasten'!$C$4,"",EOMONTH(C329,0)+1))</f>
        <v/>
      </c>
      <c r="D330" s="123"/>
      <c r="E330" s="125" t="str">
        <f>IF($B329="","",IF($B329+1&gt;'Qredits maandlasten'!$C$4,"",F329+1))</f>
        <v/>
      </c>
      <c r="F330" s="125" t="str">
        <f>IF($B329="","",IF($B329+1&gt;'Qredits maandlasten'!$C$4,"",EOMONTH(E330,0)))</f>
        <v/>
      </c>
      <c r="G330" s="126" t="str">
        <f>IF($B329="","",IF($B329+1&gt;'Qredits maandlasten'!$C$4,"",(_xlfn.DAYS(F330,E330)+1)/DAY(F330)))</f>
        <v/>
      </c>
      <c r="H330" s="127"/>
      <c r="I330" s="128" t="str">
        <f>IF($B329="","",IF($B329+1&gt;'Qredits maandlasten'!$C$4,"",I329-J329))</f>
        <v/>
      </c>
      <c r="J330" s="128" t="str">
        <f>IF($B329="","",IF($B329+1&gt;'Qredits maandlasten'!$C$4,"",IF(B329&lt;'Qredits maandlasten'!$C$11-1,0,IF('Qredits maandlasten'!$C$10=dropdowns!$A$121,'Qredits maandlasten'!$J$3,IF('Qredits maandlasten'!$C$10=dropdowns!$A$120,IFERROR('Qredits maandlasten'!$J$3-K330,0),0)))))</f>
        <v/>
      </c>
      <c r="K330" s="128" t="str">
        <f>IF($B329="","",IF($B329+1&gt;'Qredits maandlasten'!$C$4,"",G330*I330*'Qredits maandlasten'!$C$8))</f>
        <v/>
      </c>
      <c r="L330" s="128" t="str">
        <f t="shared" si="22"/>
        <v/>
      </c>
      <c r="M330" s="128" t="str">
        <f t="shared" ref="M330:M369" si="25">IF(S330="","",-K330-J330)</f>
        <v/>
      </c>
      <c r="N330" s="127"/>
      <c r="O330" s="129" t="str">
        <f>IF($B330="","",'Qredits maandlasten'!$C$8)</f>
        <v/>
      </c>
      <c r="P330" s="129" t="str">
        <f>IF($B330="","",'Qredits maandlasten'!$C$8*(POWER(1+'Qredits maandlasten'!$C$8,$B330-1+1)))</f>
        <v/>
      </c>
      <c r="Q330" s="129" t="str">
        <f t="shared" si="23"/>
        <v/>
      </c>
      <c r="R330" s="127"/>
      <c r="S330" s="128" t="str">
        <f t="shared" ref="S330:S369" si="26">IF(B330="","",IF(S329-T329&lt;0,"",S329-T329))</f>
        <v/>
      </c>
      <c r="T330" s="128" t="str">
        <f>IF(S330="","",J330/(POWER(1+'Qredits maandlasten'!$C$8,$B330-1+1)))</f>
        <v/>
      </c>
      <c r="U330" s="130" t="str">
        <f t="shared" si="24"/>
        <v/>
      </c>
      <c r="V330" s="128" t="str">
        <f>IF($B330="","",K330/(POWER(1+'Qredits maandlasten'!$C$8,$B330-1+1)))</f>
        <v/>
      </c>
      <c r="W330" s="127"/>
    </row>
    <row r="331" spans="1:23" s="132" customFormat="1" x14ac:dyDescent="0.2">
      <c r="A331" s="123"/>
      <c r="B331" s="124" t="str">
        <f>IF($B330="","",IF($B330+1&gt;'Qredits maandlasten'!$C$4,"",Schema!B330+1))</f>
        <v/>
      </c>
      <c r="C331" s="125" t="str">
        <f>IF($B330="","",IF($B330+1&gt;'Qredits maandlasten'!$C$4,"",EOMONTH(C330,0)+1))</f>
        <v/>
      </c>
      <c r="D331" s="123"/>
      <c r="E331" s="125" t="str">
        <f>IF($B330="","",IF($B330+1&gt;'Qredits maandlasten'!$C$4,"",F330+1))</f>
        <v/>
      </c>
      <c r="F331" s="125" t="str">
        <f>IF($B330="","",IF($B330+1&gt;'Qredits maandlasten'!$C$4,"",EOMONTH(E331,0)))</f>
        <v/>
      </c>
      <c r="G331" s="126" t="str">
        <f>IF($B330="","",IF($B330+1&gt;'Qredits maandlasten'!$C$4,"",(_xlfn.DAYS(F331,E331)+1)/DAY(F331)))</f>
        <v/>
      </c>
      <c r="H331" s="127"/>
      <c r="I331" s="128" t="str">
        <f>IF($B330="","",IF($B330+1&gt;'Qredits maandlasten'!$C$4,"",I330-J330))</f>
        <v/>
      </c>
      <c r="J331" s="128" t="str">
        <f>IF($B330="","",IF($B330+1&gt;'Qredits maandlasten'!$C$4,"",IF(B330&lt;'Qredits maandlasten'!$C$11-1,0,IF('Qredits maandlasten'!$C$10=dropdowns!$A$121,'Qredits maandlasten'!$J$3,IF('Qredits maandlasten'!$C$10=dropdowns!$A$120,IFERROR('Qredits maandlasten'!$J$3-K331,0),0)))))</f>
        <v/>
      </c>
      <c r="K331" s="128" t="str">
        <f>IF($B330="","",IF($B330+1&gt;'Qredits maandlasten'!$C$4,"",G331*I331*'Qredits maandlasten'!$C$8))</f>
        <v/>
      </c>
      <c r="L331" s="128" t="str">
        <f t="shared" ref="L331:L369" si="27">IF(S331="","",-K331-J331)</f>
        <v/>
      </c>
      <c r="M331" s="128" t="str">
        <f t="shared" si="25"/>
        <v/>
      </c>
      <c r="N331" s="127"/>
      <c r="O331" s="129" t="str">
        <f>IF($B331="","",'Qredits maandlasten'!$C$8)</f>
        <v/>
      </c>
      <c r="P331" s="129" t="str">
        <f>IF($B331="","",'Qredits maandlasten'!$C$8*(POWER(1+'Qredits maandlasten'!$C$8,$B331-1+1)))</f>
        <v/>
      </c>
      <c r="Q331" s="129" t="str">
        <f t="shared" ref="Q331:Q369" si="28">IF($B331="","",IFERROR(J331/T331-1,0))</f>
        <v/>
      </c>
      <c r="R331" s="127"/>
      <c r="S331" s="128" t="str">
        <f t="shared" si="26"/>
        <v/>
      </c>
      <c r="T331" s="128" t="str">
        <f>IF(S331="","",J331/(POWER(1+'Qredits maandlasten'!$C$8,$B331-1+1)))</f>
        <v/>
      </c>
      <c r="U331" s="130" t="str">
        <f t="shared" ref="U331:U369" si="29">IF(S331="","",T331+V331)</f>
        <v/>
      </c>
      <c r="V331" s="128" t="str">
        <f>IF($B331="","",K331/(POWER(1+'Qredits maandlasten'!$C$8,$B331-1+1)))</f>
        <v/>
      </c>
      <c r="W331" s="127"/>
    </row>
    <row r="332" spans="1:23" s="132" customFormat="1" x14ac:dyDescent="0.2">
      <c r="A332" s="123"/>
      <c r="B332" s="124" t="str">
        <f>IF($B331="","",IF($B331+1&gt;'Qredits maandlasten'!$C$4,"",Schema!B331+1))</f>
        <v/>
      </c>
      <c r="C332" s="125" t="str">
        <f>IF($B331="","",IF($B331+1&gt;'Qredits maandlasten'!$C$4,"",EOMONTH(C331,0)+1))</f>
        <v/>
      </c>
      <c r="D332" s="123"/>
      <c r="E332" s="125" t="str">
        <f>IF($B331="","",IF($B331+1&gt;'Qredits maandlasten'!$C$4,"",F331+1))</f>
        <v/>
      </c>
      <c r="F332" s="125" t="str">
        <f>IF($B331="","",IF($B331+1&gt;'Qredits maandlasten'!$C$4,"",EOMONTH(E332,0)))</f>
        <v/>
      </c>
      <c r="G332" s="126" t="str">
        <f>IF($B331="","",IF($B331+1&gt;'Qredits maandlasten'!$C$4,"",(_xlfn.DAYS(F332,E332)+1)/DAY(F332)))</f>
        <v/>
      </c>
      <c r="H332" s="127"/>
      <c r="I332" s="128" t="str">
        <f>IF($B331="","",IF($B331+1&gt;'Qredits maandlasten'!$C$4,"",I331-J331))</f>
        <v/>
      </c>
      <c r="J332" s="128" t="str">
        <f>IF($B331="","",IF($B331+1&gt;'Qredits maandlasten'!$C$4,"",IF(B331&lt;'Qredits maandlasten'!$C$11-1,0,IF('Qredits maandlasten'!$C$10=dropdowns!$A$121,'Qredits maandlasten'!$J$3,IF('Qredits maandlasten'!$C$10=dropdowns!$A$120,IFERROR('Qredits maandlasten'!$J$3-K332,0),0)))))</f>
        <v/>
      </c>
      <c r="K332" s="128" t="str">
        <f>IF($B331="","",IF($B331+1&gt;'Qredits maandlasten'!$C$4,"",G332*I332*'Qredits maandlasten'!$C$8))</f>
        <v/>
      </c>
      <c r="L332" s="128" t="str">
        <f t="shared" si="27"/>
        <v/>
      </c>
      <c r="M332" s="128" t="str">
        <f t="shared" si="25"/>
        <v/>
      </c>
      <c r="N332" s="127"/>
      <c r="O332" s="129" t="str">
        <f>IF($B332="","",'Qredits maandlasten'!$C$8)</f>
        <v/>
      </c>
      <c r="P332" s="129" t="str">
        <f>IF($B332="","",'Qredits maandlasten'!$C$8*(POWER(1+'Qredits maandlasten'!$C$8,$B332-1+1)))</f>
        <v/>
      </c>
      <c r="Q332" s="129" t="str">
        <f t="shared" si="28"/>
        <v/>
      </c>
      <c r="R332" s="127"/>
      <c r="S332" s="128" t="str">
        <f t="shared" si="26"/>
        <v/>
      </c>
      <c r="T332" s="128" t="str">
        <f>IF(S332="","",J332/(POWER(1+'Qredits maandlasten'!$C$8,$B332-1+1)))</f>
        <v/>
      </c>
      <c r="U332" s="130" t="str">
        <f t="shared" si="29"/>
        <v/>
      </c>
      <c r="V332" s="128" t="str">
        <f>IF($B332="","",K332/(POWER(1+'Qredits maandlasten'!$C$8,$B332-1+1)))</f>
        <v/>
      </c>
      <c r="W332" s="127"/>
    </row>
    <row r="333" spans="1:23" s="132" customFormat="1" x14ac:dyDescent="0.2">
      <c r="A333" s="123"/>
      <c r="B333" s="124" t="str">
        <f>IF($B332="","",IF($B332+1&gt;'Qredits maandlasten'!$C$4,"",Schema!B332+1))</f>
        <v/>
      </c>
      <c r="C333" s="125" t="str">
        <f>IF($B332="","",IF($B332+1&gt;'Qredits maandlasten'!$C$4,"",EOMONTH(C332,0)+1))</f>
        <v/>
      </c>
      <c r="D333" s="123"/>
      <c r="E333" s="125" t="str">
        <f>IF($B332="","",IF($B332+1&gt;'Qredits maandlasten'!$C$4,"",F332+1))</f>
        <v/>
      </c>
      <c r="F333" s="125" t="str">
        <f>IF($B332="","",IF($B332+1&gt;'Qredits maandlasten'!$C$4,"",EOMONTH(E333,0)))</f>
        <v/>
      </c>
      <c r="G333" s="126" t="str">
        <f>IF($B332="","",IF($B332+1&gt;'Qredits maandlasten'!$C$4,"",(_xlfn.DAYS(F333,E333)+1)/DAY(F333)))</f>
        <v/>
      </c>
      <c r="H333" s="127"/>
      <c r="I333" s="128" t="str">
        <f>IF($B332="","",IF($B332+1&gt;'Qredits maandlasten'!$C$4,"",I332-J332))</f>
        <v/>
      </c>
      <c r="J333" s="128" t="str">
        <f>IF($B332="","",IF($B332+1&gt;'Qredits maandlasten'!$C$4,"",IF(B332&lt;'Qredits maandlasten'!$C$11-1,0,IF('Qredits maandlasten'!$C$10=dropdowns!$A$121,'Qredits maandlasten'!$J$3,IF('Qredits maandlasten'!$C$10=dropdowns!$A$120,IFERROR('Qredits maandlasten'!$J$3-K333,0),0)))))</f>
        <v/>
      </c>
      <c r="K333" s="128" t="str">
        <f>IF($B332="","",IF($B332+1&gt;'Qredits maandlasten'!$C$4,"",G333*I333*'Qredits maandlasten'!$C$8))</f>
        <v/>
      </c>
      <c r="L333" s="128" t="str">
        <f t="shared" si="27"/>
        <v/>
      </c>
      <c r="M333" s="128" t="str">
        <f t="shared" si="25"/>
        <v/>
      </c>
      <c r="N333" s="127"/>
      <c r="O333" s="129" t="str">
        <f>IF($B333="","",'Qredits maandlasten'!$C$8)</f>
        <v/>
      </c>
      <c r="P333" s="129" t="str">
        <f>IF($B333="","",'Qredits maandlasten'!$C$8*(POWER(1+'Qredits maandlasten'!$C$8,$B333-1+1)))</f>
        <v/>
      </c>
      <c r="Q333" s="129" t="str">
        <f t="shared" si="28"/>
        <v/>
      </c>
      <c r="R333" s="127"/>
      <c r="S333" s="128" t="str">
        <f t="shared" si="26"/>
        <v/>
      </c>
      <c r="T333" s="128" t="str">
        <f>IF(S333="","",J333/(POWER(1+'Qredits maandlasten'!$C$8,$B333-1+1)))</f>
        <v/>
      </c>
      <c r="U333" s="130" t="str">
        <f t="shared" si="29"/>
        <v/>
      </c>
      <c r="V333" s="128" t="str">
        <f>IF($B333="","",K333/(POWER(1+'Qredits maandlasten'!$C$8,$B333-1+1)))</f>
        <v/>
      </c>
      <c r="W333" s="127"/>
    </row>
    <row r="334" spans="1:23" s="132" customFormat="1" x14ac:dyDescent="0.2">
      <c r="A334" s="123"/>
      <c r="B334" s="124" t="str">
        <f>IF($B333="","",IF($B333+1&gt;'Qredits maandlasten'!$C$4,"",Schema!B333+1))</f>
        <v/>
      </c>
      <c r="C334" s="125" t="str">
        <f>IF($B333="","",IF($B333+1&gt;'Qredits maandlasten'!$C$4,"",EOMONTH(C333,0)+1))</f>
        <v/>
      </c>
      <c r="D334" s="123"/>
      <c r="E334" s="125" t="str">
        <f>IF($B333="","",IF($B333+1&gt;'Qredits maandlasten'!$C$4,"",F333+1))</f>
        <v/>
      </c>
      <c r="F334" s="125" t="str">
        <f>IF($B333="","",IF($B333+1&gt;'Qredits maandlasten'!$C$4,"",EOMONTH(E334,0)))</f>
        <v/>
      </c>
      <c r="G334" s="126" t="str">
        <f>IF($B333="","",IF($B333+1&gt;'Qredits maandlasten'!$C$4,"",(_xlfn.DAYS(F334,E334)+1)/DAY(F334)))</f>
        <v/>
      </c>
      <c r="H334" s="127"/>
      <c r="I334" s="128" t="str">
        <f>IF($B333="","",IF($B333+1&gt;'Qredits maandlasten'!$C$4,"",I333-J333))</f>
        <v/>
      </c>
      <c r="J334" s="128" t="str">
        <f>IF($B333="","",IF($B333+1&gt;'Qredits maandlasten'!$C$4,"",IF(B333&lt;'Qredits maandlasten'!$C$11-1,0,IF('Qredits maandlasten'!$C$10=dropdowns!$A$121,'Qredits maandlasten'!$J$3,IF('Qredits maandlasten'!$C$10=dropdowns!$A$120,IFERROR('Qredits maandlasten'!$J$3-K334,0),0)))))</f>
        <v/>
      </c>
      <c r="K334" s="128" t="str">
        <f>IF($B333="","",IF($B333+1&gt;'Qredits maandlasten'!$C$4,"",G334*I334*'Qredits maandlasten'!$C$8))</f>
        <v/>
      </c>
      <c r="L334" s="128" t="str">
        <f t="shared" si="27"/>
        <v/>
      </c>
      <c r="M334" s="128" t="str">
        <f t="shared" si="25"/>
        <v/>
      </c>
      <c r="N334" s="127"/>
      <c r="O334" s="129" t="str">
        <f>IF($B334="","",'Qredits maandlasten'!$C$8)</f>
        <v/>
      </c>
      <c r="P334" s="129" t="str">
        <f>IF($B334="","",'Qredits maandlasten'!$C$8*(POWER(1+'Qredits maandlasten'!$C$8,$B334-1+1)))</f>
        <v/>
      </c>
      <c r="Q334" s="129" t="str">
        <f t="shared" si="28"/>
        <v/>
      </c>
      <c r="R334" s="127"/>
      <c r="S334" s="128" t="str">
        <f t="shared" si="26"/>
        <v/>
      </c>
      <c r="T334" s="128" t="str">
        <f>IF(S334="","",J334/(POWER(1+'Qredits maandlasten'!$C$8,$B334-1+1)))</f>
        <v/>
      </c>
      <c r="U334" s="130" t="str">
        <f t="shared" si="29"/>
        <v/>
      </c>
      <c r="V334" s="128" t="str">
        <f>IF($B334="","",K334/(POWER(1+'Qredits maandlasten'!$C$8,$B334-1+1)))</f>
        <v/>
      </c>
      <c r="W334" s="127"/>
    </row>
    <row r="335" spans="1:23" s="132" customFormat="1" x14ac:dyDescent="0.2">
      <c r="A335" s="123"/>
      <c r="B335" s="124" t="str">
        <f>IF($B334="","",IF($B334+1&gt;'Qredits maandlasten'!$C$4,"",Schema!B334+1))</f>
        <v/>
      </c>
      <c r="C335" s="125" t="str">
        <f>IF($B334="","",IF($B334+1&gt;'Qredits maandlasten'!$C$4,"",EOMONTH(C334,0)+1))</f>
        <v/>
      </c>
      <c r="D335" s="123"/>
      <c r="E335" s="125" t="str">
        <f>IF($B334="","",IF($B334+1&gt;'Qredits maandlasten'!$C$4,"",F334+1))</f>
        <v/>
      </c>
      <c r="F335" s="125" t="str">
        <f>IF($B334="","",IF($B334+1&gt;'Qredits maandlasten'!$C$4,"",EOMONTH(E335,0)))</f>
        <v/>
      </c>
      <c r="G335" s="126" t="str">
        <f>IF($B334="","",IF($B334+1&gt;'Qredits maandlasten'!$C$4,"",(_xlfn.DAYS(F335,E335)+1)/DAY(F335)))</f>
        <v/>
      </c>
      <c r="H335" s="127"/>
      <c r="I335" s="128" t="str">
        <f>IF($B334="","",IF($B334+1&gt;'Qredits maandlasten'!$C$4,"",I334-J334))</f>
        <v/>
      </c>
      <c r="J335" s="128" t="str">
        <f>IF($B334="","",IF($B334+1&gt;'Qredits maandlasten'!$C$4,"",IF(B334&lt;'Qredits maandlasten'!$C$11-1,0,IF('Qredits maandlasten'!$C$10=dropdowns!$A$121,'Qredits maandlasten'!$J$3,IF('Qredits maandlasten'!$C$10=dropdowns!$A$120,IFERROR('Qredits maandlasten'!$J$3-K335,0),0)))))</f>
        <v/>
      </c>
      <c r="K335" s="128" t="str">
        <f>IF($B334="","",IF($B334+1&gt;'Qredits maandlasten'!$C$4,"",G335*I335*'Qredits maandlasten'!$C$8))</f>
        <v/>
      </c>
      <c r="L335" s="128" t="str">
        <f t="shared" si="27"/>
        <v/>
      </c>
      <c r="M335" s="128" t="str">
        <f t="shared" si="25"/>
        <v/>
      </c>
      <c r="N335" s="127"/>
      <c r="O335" s="129" t="str">
        <f>IF($B335="","",'Qredits maandlasten'!$C$8)</f>
        <v/>
      </c>
      <c r="P335" s="129" t="str">
        <f>IF($B335="","",'Qredits maandlasten'!$C$8*(POWER(1+'Qredits maandlasten'!$C$8,$B335-1+1)))</f>
        <v/>
      </c>
      <c r="Q335" s="129" t="str">
        <f t="shared" si="28"/>
        <v/>
      </c>
      <c r="R335" s="127"/>
      <c r="S335" s="128" t="str">
        <f t="shared" si="26"/>
        <v/>
      </c>
      <c r="T335" s="128" t="str">
        <f>IF(S335="","",J335/(POWER(1+'Qredits maandlasten'!$C$8,$B335-1+1)))</f>
        <v/>
      </c>
      <c r="U335" s="130" t="str">
        <f t="shared" si="29"/>
        <v/>
      </c>
      <c r="V335" s="128" t="str">
        <f>IF($B335="","",K335/(POWER(1+'Qredits maandlasten'!$C$8,$B335-1+1)))</f>
        <v/>
      </c>
      <c r="W335" s="127"/>
    </row>
    <row r="336" spans="1:23" s="132" customFormat="1" x14ac:dyDescent="0.2">
      <c r="A336" s="123"/>
      <c r="B336" s="124" t="str">
        <f>IF($B335="","",IF($B335+1&gt;'Qredits maandlasten'!$C$4,"",Schema!B335+1))</f>
        <v/>
      </c>
      <c r="C336" s="125" t="str">
        <f>IF($B335="","",IF($B335+1&gt;'Qredits maandlasten'!$C$4,"",EOMONTH(C335,0)+1))</f>
        <v/>
      </c>
      <c r="D336" s="123"/>
      <c r="E336" s="125" t="str">
        <f>IF($B335="","",IF($B335+1&gt;'Qredits maandlasten'!$C$4,"",F335+1))</f>
        <v/>
      </c>
      <c r="F336" s="125" t="str">
        <f>IF($B335="","",IF($B335+1&gt;'Qredits maandlasten'!$C$4,"",EOMONTH(E336,0)))</f>
        <v/>
      </c>
      <c r="G336" s="126" t="str">
        <f>IF($B335="","",IF($B335+1&gt;'Qredits maandlasten'!$C$4,"",(_xlfn.DAYS(F336,E336)+1)/DAY(F336)))</f>
        <v/>
      </c>
      <c r="H336" s="127"/>
      <c r="I336" s="128" t="str">
        <f>IF($B335="","",IF($B335+1&gt;'Qredits maandlasten'!$C$4,"",I335-J335))</f>
        <v/>
      </c>
      <c r="J336" s="128" t="str">
        <f>IF($B335="","",IF($B335+1&gt;'Qredits maandlasten'!$C$4,"",IF(B335&lt;'Qredits maandlasten'!$C$11-1,0,IF('Qredits maandlasten'!$C$10=dropdowns!$A$121,'Qredits maandlasten'!$J$3,IF('Qredits maandlasten'!$C$10=dropdowns!$A$120,IFERROR('Qredits maandlasten'!$J$3-K336,0),0)))))</f>
        <v/>
      </c>
      <c r="K336" s="128" t="str">
        <f>IF($B335="","",IF($B335+1&gt;'Qredits maandlasten'!$C$4,"",G336*I336*'Qredits maandlasten'!$C$8))</f>
        <v/>
      </c>
      <c r="L336" s="128" t="str">
        <f t="shared" si="27"/>
        <v/>
      </c>
      <c r="M336" s="128" t="str">
        <f t="shared" si="25"/>
        <v/>
      </c>
      <c r="N336" s="127"/>
      <c r="O336" s="129" t="str">
        <f>IF($B336="","",'Qredits maandlasten'!$C$8)</f>
        <v/>
      </c>
      <c r="P336" s="129" t="str">
        <f>IF($B336="","",'Qredits maandlasten'!$C$8*(POWER(1+'Qredits maandlasten'!$C$8,$B336-1+1)))</f>
        <v/>
      </c>
      <c r="Q336" s="129" t="str">
        <f t="shared" si="28"/>
        <v/>
      </c>
      <c r="R336" s="127"/>
      <c r="S336" s="128" t="str">
        <f t="shared" si="26"/>
        <v/>
      </c>
      <c r="T336" s="128" t="str">
        <f>IF(S336="","",J336/(POWER(1+'Qredits maandlasten'!$C$8,$B336-1+1)))</f>
        <v/>
      </c>
      <c r="U336" s="130" t="str">
        <f t="shared" si="29"/>
        <v/>
      </c>
      <c r="V336" s="128" t="str">
        <f>IF($B336="","",K336/(POWER(1+'Qredits maandlasten'!$C$8,$B336-1+1)))</f>
        <v/>
      </c>
      <c r="W336" s="127"/>
    </row>
    <row r="337" spans="1:23" s="132" customFormat="1" x14ac:dyDescent="0.2">
      <c r="A337" s="123"/>
      <c r="B337" s="124" t="str">
        <f>IF($B336="","",IF($B336+1&gt;'Qredits maandlasten'!$C$4,"",Schema!B336+1))</f>
        <v/>
      </c>
      <c r="C337" s="125" t="str">
        <f>IF($B336="","",IF($B336+1&gt;'Qredits maandlasten'!$C$4,"",EOMONTH(C336,0)+1))</f>
        <v/>
      </c>
      <c r="D337" s="123"/>
      <c r="E337" s="125" t="str">
        <f>IF($B336="","",IF($B336+1&gt;'Qredits maandlasten'!$C$4,"",F336+1))</f>
        <v/>
      </c>
      <c r="F337" s="125" t="str">
        <f>IF($B336="","",IF($B336+1&gt;'Qredits maandlasten'!$C$4,"",EOMONTH(E337,0)))</f>
        <v/>
      </c>
      <c r="G337" s="126" t="str">
        <f>IF($B336="","",IF($B336+1&gt;'Qredits maandlasten'!$C$4,"",(_xlfn.DAYS(F337,E337)+1)/DAY(F337)))</f>
        <v/>
      </c>
      <c r="H337" s="127"/>
      <c r="I337" s="128" t="str">
        <f>IF($B336="","",IF($B336+1&gt;'Qredits maandlasten'!$C$4,"",I336-J336))</f>
        <v/>
      </c>
      <c r="J337" s="128" t="str">
        <f>IF($B336="","",IF($B336+1&gt;'Qredits maandlasten'!$C$4,"",IF(B336&lt;'Qredits maandlasten'!$C$11-1,0,IF('Qredits maandlasten'!$C$10=dropdowns!$A$121,'Qredits maandlasten'!$J$3,IF('Qredits maandlasten'!$C$10=dropdowns!$A$120,IFERROR('Qredits maandlasten'!$J$3-K337,0),0)))))</f>
        <v/>
      </c>
      <c r="K337" s="128" t="str">
        <f>IF($B336="","",IF($B336+1&gt;'Qredits maandlasten'!$C$4,"",G337*I337*'Qredits maandlasten'!$C$8))</f>
        <v/>
      </c>
      <c r="L337" s="128" t="str">
        <f t="shared" si="27"/>
        <v/>
      </c>
      <c r="M337" s="128" t="str">
        <f t="shared" si="25"/>
        <v/>
      </c>
      <c r="N337" s="127"/>
      <c r="O337" s="129" t="str">
        <f>IF($B337="","",'Qredits maandlasten'!$C$8)</f>
        <v/>
      </c>
      <c r="P337" s="129" t="str">
        <f>IF($B337="","",'Qredits maandlasten'!$C$8*(POWER(1+'Qredits maandlasten'!$C$8,$B337-1+1)))</f>
        <v/>
      </c>
      <c r="Q337" s="129" t="str">
        <f t="shared" si="28"/>
        <v/>
      </c>
      <c r="R337" s="127"/>
      <c r="S337" s="128" t="str">
        <f t="shared" si="26"/>
        <v/>
      </c>
      <c r="T337" s="128" t="str">
        <f>IF(S337="","",J337/(POWER(1+'Qredits maandlasten'!$C$8,$B337-1+1)))</f>
        <v/>
      </c>
      <c r="U337" s="130" t="str">
        <f t="shared" si="29"/>
        <v/>
      </c>
      <c r="V337" s="128" t="str">
        <f>IF($B337="","",K337/(POWER(1+'Qredits maandlasten'!$C$8,$B337-1+1)))</f>
        <v/>
      </c>
      <c r="W337" s="127"/>
    </row>
    <row r="338" spans="1:23" s="132" customFormat="1" x14ac:dyDescent="0.2">
      <c r="A338" s="123"/>
      <c r="B338" s="124" t="str">
        <f>IF($B337="","",IF($B337+1&gt;'Qredits maandlasten'!$C$4,"",Schema!B337+1))</f>
        <v/>
      </c>
      <c r="C338" s="125" t="str">
        <f>IF($B337="","",IF($B337+1&gt;'Qredits maandlasten'!$C$4,"",EOMONTH(C337,0)+1))</f>
        <v/>
      </c>
      <c r="D338" s="123"/>
      <c r="E338" s="125" t="str">
        <f>IF($B337="","",IF($B337+1&gt;'Qredits maandlasten'!$C$4,"",F337+1))</f>
        <v/>
      </c>
      <c r="F338" s="125" t="str">
        <f>IF($B337="","",IF($B337+1&gt;'Qredits maandlasten'!$C$4,"",EOMONTH(E338,0)))</f>
        <v/>
      </c>
      <c r="G338" s="126" t="str">
        <f>IF($B337="","",IF($B337+1&gt;'Qredits maandlasten'!$C$4,"",(_xlfn.DAYS(F338,E338)+1)/DAY(F338)))</f>
        <v/>
      </c>
      <c r="H338" s="127"/>
      <c r="I338" s="128" t="str">
        <f>IF($B337="","",IF($B337+1&gt;'Qredits maandlasten'!$C$4,"",I337-J337))</f>
        <v/>
      </c>
      <c r="J338" s="128" t="str">
        <f>IF($B337="","",IF($B337+1&gt;'Qredits maandlasten'!$C$4,"",IF(B337&lt;'Qredits maandlasten'!$C$11-1,0,IF('Qredits maandlasten'!$C$10=dropdowns!$A$121,'Qredits maandlasten'!$J$3,IF('Qredits maandlasten'!$C$10=dropdowns!$A$120,IFERROR('Qredits maandlasten'!$J$3-K338,0),0)))))</f>
        <v/>
      </c>
      <c r="K338" s="128" t="str">
        <f>IF($B337="","",IF($B337+1&gt;'Qredits maandlasten'!$C$4,"",G338*I338*'Qredits maandlasten'!$C$8))</f>
        <v/>
      </c>
      <c r="L338" s="128" t="str">
        <f t="shared" si="27"/>
        <v/>
      </c>
      <c r="M338" s="128" t="str">
        <f t="shared" si="25"/>
        <v/>
      </c>
      <c r="N338" s="127"/>
      <c r="O338" s="129" t="str">
        <f>IF($B338="","",'Qredits maandlasten'!$C$8)</f>
        <v/>
      </c>
      <c r="P338" s="129" t="str">
        <f>IF($B338="","",'Qredits maandlasten'!$C$8*(POWER(1+'Qredits maandlasten'!$C$8,$B338-1+1)))</f>
        <v/>
      </c>
      <c r="Q338" s="129" t="str">
        <f t="shared" si="28"/>
        <v/>
      </c>
      <c r="R338" s="127"/>
      <c r="S338" s="128" t="str">
        <f t="shared" si="26"/>
        <v/>
      </c>
      <c r="T338" s="128" t="str">
        <f>IF(S338="","",J338/(POWER(1+'Qredits maandlasten'!$C$8,$B338-1+1)))</f>
        <v/>
      </c>
      <c r="U338" s="130" t="str">
        <f t="shared" si="29"/>
        <v/>
      </c>
      <c r="V338" s="128" t="str">
        <f>IF($B338="","",K338/(POWER(1+'Qredits maandlasten'!$C$8,$B338-1+1)))</f>
        <v/>
      </c>
      <c r="W338" s="127"/>
    </row>
    <row r="339" spans="1:23" s="132" customFormat="1" x14ac:dyDescent="0.2">
      <c r="A339" s="123"/>
      <c r="B339" s="124" t="str">
        <f>IF($B338="","",IF($B338+1&gt;'Qredits maandlasten'!$C$4,"",Schema!B338+1))</f>
        <v/>
      </c>
      <c r="C339" s="125" t="str">
        <f>IF($B338="","",IF($B338+1&gt;'Qredits maandlasten'!$C$4,"",EOMONTH(C338,0)+1))</f>
        <v/>
      </c>
      <c r="D339" s="123"/>
      <c r="E339" s="125" t="str">
        <f>IF($B338="","",IF($B338+1&gt;'Qredits maandlasten'!$C$4,"",F338+1))</f>
        <v/>
      </c>
      <c r="F339" s="125" t="str">
        <f>IF($B338="","",IF($B338+1&gt;'Qredits maandlasten'!$C$4,"",EOMONTH(E339,0)))</f>
        <v/>
      </c>
      <c r="G339" s="126" t="str">
        <f>IF($B338="","",IF($B338+1&gt;'Qredits maandlasten'!$C$4,"",(_xlfn.DAYS(F339,E339)+1)/DAY(F339)))</f>
        <v/>
      </c>
      <c r="H339" s="127"/>
      <c r="I339" s="128" t="str">
        <f>IF($B338="","",IF($B338+1&gt;'Qredits maandlasten'!$C$4,"",I338-J338))</f>
        <v/>
      </c>
      <c r="J339" s="128" t="str">
        <f>IF($B338="","",IF($B338+1&gt;'Qredits maandlasten'!$C$4,"",IF(B338&lt;'Qredits maandlasten'!$C$11-1,0,IF('Qredits maandlasten'!$C$10=dropdowns!$A$121,'Qredits maandlasten'!$J$3,IF('Qredits maandlasten'!$C$10=dropdowns!$A$120,IFERROR('Qredits maandlasten'!$J$3-K339,0),0)))))</f>
        <v/>
      </c>
      <c r="K339" s="128" t="str">
        <f>IF($B338="","",IF($B338+1&gt;'Qredits maandlasten'!$C$4,"",G339*I339*'Qredits maandlasten'!$C$8))</f>
        <v/>
      </c>
      <c r="L339" s="128" t="str">
        <f t="shared" si="27"/>
        <v/>
      </c>
      <c r="M339" s="128" t="str">
        <f t="shared" si="25"/>
        <v/>
      </c>
      <c r="N339" s="127"/>
      <c r="O339" s="129" t="str">
        <f>IF($B339="","",'Qredits maandlasten'!$C$8)</f>
        <v/>
      </c>
      <c r="P339" s="129" t="str">
        <f>IF($B339="","",'Qredits maandlasten'!$C$8*(POWER(1+'Qredits maandlasten'!$C$8,$B339-1+1)))</f>
        <v/>
      </c>
      <c r="Q339" s="129" t="str">
        <f t="shared" si="28"/>
        <v/>
      </c>
      <c r="R339" s="127"/>
      <c r="S339" s="128" t="str">
        <f t="shared" si="26"/>
        <v/>
      </c>
      <c r="T339" s="128" t="str">
        <f>IF(S339="","",J339/(POWER(1+'Qredits maandlasten'!$C$8,$B339-1+1)))</f>
        <v/>
      </c>
      <c r="U339" s="130" t="str">
        <f t="shared" si="29"/>
        <v/>
      </c>
      <c r="V339" s="128" t="str">
        <f>IF($B339="","",K339/(POWER(1+'Qredits maandlasten'!$C$8,$B339-1+1)))</f>
        <v/>
      </c>
      <c r="W339" s="127"/>
    </row>
    <row r="340" spans="1:23" s="132" customFormat="1" x14ac:dyDescent="0.2">
      <c r="A340" s="123"/>
      <c r="B340" s="124" t="str">
        <f>IF($B339="","",IF($B339+1&gt;'Qredits maandlasten'!$C$4,"",Schema!B339+1))</f>
        <v/>
      </c>
      <c r="C340" s="125" t="str">
        <f>IF($B339="","",IF($B339+1&gt;'Qredits maandlasten'!$C$4,"",EOMONTH(C339,0)+1))</f>
        <v/>
      </c>
      <c r="D340" s="123"/>
      <c r="E340" s="125" t="str">
        <f>IF($B339="","",IF($B339+1&gt;'Qredits maandlasten'!$C$4,"",F339+1))</f>
        <v/>
      </c>
      <c r="F340" s="125" t="str">
        <f>IF($B339="","",IF($B339+1&gt;'Qredits maandlasten'!$C$4,"",EOMONTH(E340,0)))</f>
        <v/>
      </c>
      <c r="G340" s="126" t="str">
        <f>IF($B339="","",IF($B339+1&gt;'Qredits maandlasten'!$C$4,"",(_xlfn.DAYS(F340,E340)+1)/DAY(F340)))</f>
        <v/>
      </c>
      <c r="H340" s="127"/>
      <c r="I340" s="128" t="str">
        <f>IF($B339="","",IF($B339+1&gt;'Qredits maandlasten'!$C$4,"",I339-J339))</f>
        <v/>
      </c>
      <c r="J340" s="128" t="str">
        <f>IF($B339="","",IF($B339+1&gt;'Qredits maandlasten'!$C$4,"",IF(B339&lt;'Qredits maandlasten'!$C$11-1,0,IF('Qredits maandlasten'!$C$10=dropdowns!$A$121,'Qredits maandlasten'!$J$3,IF('Qredits maandlasten'!$C$10=dropdowns!$A$120,IFERROR('Qredits maandlasten'!$J$3-K340,0),0)))))</f>
        <v/>
      </c>
      <c r="K340" s="128" t="str">
        <f>IF($B339="","",IF($B339+1&gt;'Qredits maandlasten'!$C$4,"",G340*I340*'Qredits maandlasten'!$C$8))</f>
        <v/>
      </c>
      <c r="L340" s="128" t="str">
        <f t="shared" si="27"/>
        <v/>
      </c>
      <c r="M340" s="128" t="str">
        <f t="shared" si="25"/>
        <v/>
      </c>
      <c r="N340" s="127"/>
      <c r="O340" s="129" t="str">
        <f>IF($B340="","",'Qredits maandlasten'!$C$8)</f>
        <v/>
      </c>
      <c r="P340" s="129" t="str">
        <f>IF($B340="","",'Qredits maandlasten'!$C$8*(POWER(1+'Qredits maandlasten'!$C$8,$B340-1+1)))</f>
        <v/>
      </c>
      <c r="Q340" s="129" t="str">
        <f t="shared" si="28"/>
        <v/>
      </c>
      <c r="R340" s="127"/>
      <c r="S340" s="128" t="str">
        <f t="shared" si="26"/>
        <v/>
      </c>
      <c r="T340" s="128" t="str">
        <f>IF(S340="","",J340/(POWER(1+'Qredits maandlasten'!$C$8,$B340-1+1)))</f>
        <v/>
      </c>
      <c r="U340" s="130" t="str">
        <f t="shared" si="29"/>
        <v/>
      </c>
      <c r="V340" s="128" t="str">
        <f>IF($B340="","",K340/(POWER(1+'Qredits maandlasten'!$C$8,$B340-1+1)))</f>
        <v/>
      </c>
      <c r="W340" s="127"/>
    </row>
    <row r="341" spans="1:23" s="132" customFormat="1" x14ac:dyDescent="0.2">
      <c r="A341" s="123"/>
      <c r="B341" s="124" t="str">
        <f>IF($B340="","",IF($B340+1&gt;'Qredits maandlasten'!$C$4,"",Schema!B340+1))</f>
        <v/>
      </c>
      <c r="C341" s="125" t="str">
        <f>IF($B340="","",IF($B340+1&gt;'Qredits maandlasten'!$C$4,"",EOMONTH(C340,0)+1))</f>
        <v/>
      </c>
      <c r="D341" s="123"/>
      <c r="E341" s="125" t="str">
        <f>IF($B340="","",IF($B340+1&gt;'Qredits maandlasten'!$C$4,"",F340+1))</f>
        <v/>
      </c>
      <c r="F341" s="125" t="str">
        <f>IF($B340="","",IF($B340+1&gt;'Qredits maandlasten'!$C$4,"",EOMONTH(E341,0)))</f>
        <v/>
      </c>
      <c r="G341" s="126" t="str">
        <f>IF($B340="","",IF($B340+1&gt;'Qredits maandlasten'!$C$4,"",(_xlfn.DAYS(F341,E341)+1)/DAY(F341)))</f>
        <v/>
      </c>
      <c r="H341" s="127"/>
      <c r="I341" s="128" t="str">
        <f>IF($B340="","",IF($B340+1&gt;'Qredits maandlasten'!$C$4,"",I340-J340))</f>
        <v/>
      </c>
      <c r="J341" s="128" t="str">
        <f>IF($B340="","",IF($B340+1&gt;'Qredits maandlasten'!$C$4,"",IF(B340&lt;'Qredits maandlasten'!$C$11-1,0,IF('Qredits maandlasten'!$C$10=dropdowns!$A$121,'Qredits maandlasten'!$J$3,IF('Qredits maandlasten'!$C$10=dropdowns!$A$120,IFERROR('Qredits maandlasten'!$J$3-K341,0),0)))))</f>
        <v/>
      </c>
      <c r="K341" s="128" t="str">
        <f>IF($B340="","",IF($B340+1&gt;'Qredits maandlasten'!$C$4,"",G341*I341*'Qredits maandlasten'!$C$8))</f>
        <v/>
      </c>
      <c r="L341" s="128" t="str">
        <f t="shared" si="27"/>
        <v/>
      </c>
      <c r="M341" s="128" t="str">
        <f t="shared" si="25"/>
        <v/>
      </c>
      <c r="N341" s="127"/>
      <c r="O341" s="129" t="str">
        <f>IF($B341="","",'Qredits maandlasten'!$C$8)</f>
        <v/>
      </c>
      <c r="P341" s="129" t="str">
        <f>IF($B341="","",'Qredits maandlasten'!$C$8*(POWER(1+'Qredits maandlasten'!$C$8,$B341-1+1)))</f>
        <v/>
      </c>
      <c r="Q341" s="129" t="str">
        <f t="shared" si="28"/>
        <v/>
      </c>
      <c r="R341" s="127"/>
      <c r="S341" s="128" t="str">
        <f t="shared" si="26"/>
        <v/>
      </c>
      <c r="T341" s="128" t="str">
        <f>IF(S341="","",J341/(POWER(1+'Qredits maandlasten'!$C$8,$B341-1+1)))</f>
        <v/>
      </c>
      <c r="U341" s="130" t="str">
        <f t="shared" si="29"/>
        <v/>
      </c>
      <c r="V341" s="128" t="str">
        <f>IF($B341="","",K341/(POWER(1+'Qredits maandlasten'!$C$8,$B341-1+1)))</f>
        <v/>
      </c>
      <c r="W341" s="127"/>
    </row>
    <row r="342" spans="1:23" s="132" customFormat="1" x14ac:dyDescent="0.2">
      <c r="A342" s="123"/>
      <c r="B342" s="124" t="str">
        <f>IF($B341="","",IF($B341+1&gt;'Qredits maandlasten'!$C$4,"",Schema!B341+1))</f>
        <v/>
      </c>
      <c r="C342" s="125" t="str">
        <f>IF($B341="","",IF($B341+1&gt;'Qredits maandlasten'!$C$4,"",EOMONTH(C341,0)+1))</f>
        <v/>
      </c>
      <c r="D342" s="123"/>
      <c r="E342" s="125" t="str">
        <f>IF($B341="","",IF($B341+1&gt;'Qredits maandlasten'!$C$4,"",F341+1))</f>
        <v/>
      </c>
      <c r="F342" s="125" t="str">
        <f>IF($B341="","",IF($B341+1&gt;'Qredits maandlasten'!$C$4,"",EOMONTH(E342,0)))</f>
        <v/>
      </c>
      <c r="G342" s="126" t="str">
        <f>IF($B341="","",IF($B341+1&gt;'Qredits maandlasten'!$C$4,"",(_xlfn.DAYS(F342,E342)+1)/DAY(F342)))</f>
        <v/>
      </c>
      <c r="H342" s="127"/>
      <c r="I342" s="128" t="str">
        <f>IF($B341="","",IF($B341+1&gt;'Qredits maandlasten'!$C$4,"",I341-J341))</f>
        <v/>
      </c>
      <c r="J342" s="128" t="str">
        <f>IF($B341="","",IF($B341+1&gt;'Qredits maandlasten'!$C$4,"",IF(B341&lt;'Qredits maandlasten'!$C$11-1,0,IF('Qredits maandlasten'!$C$10=dropdowns!$A$121,'Qredits maandlasten'!$J$3,IF('Qredits maandlasten'!$C$10=dropdowns!$A$120,IFERROR('Qredits maandlasten'!$J$3-K342,0),0)))))</f>
        <v/>
      </c>
      <c r="K342" s="128" t="str">
        <f>IF($B341="","",IF($B341+1&gt;'Qredits maandlasten'!$C$4,"",G342*I342*'Qredits maandlasten'!$C$8))</f>
        <v/>
      </c>
      <c r="L342" s="128" t="str">
        <f t="shared" si="27"/>
        <v/>
      </c>
      <c r="M342" s="128" t="str">
        <f t="shared" si="25"/>
        <v/>
      </c>
      <c r="N342" s="127"/>
      <c r="O342" s="129" t="str">
        <f>IF($B342="","",'Qredits maandlasten'!$C$8)</f>
        <v/>
      </c>
      <c r="P342" s="129" t="str">
        <f>IF($B342="","",'Qredits maandlasten'!$C$8*(POWER(1+'Qredits maandlasten'!$C$8,$B342-1+1)))</f>
        <v/>
      </c>
      <c r="Q342" s="129" t="str">
        <f t="shared" si="28"/>
        <v/>
      </c>
      <c r="R342" s="127"/>
      <c r="S342" s="128" t="str">
        <f t="shared" si="26"/>
        <v/>
      </c>
      <c r="T342" s="128" t="str">
        <f>IF(S342="","",J342/(POWER(1+'Qredits maandlasten'!$C$8,$B342-1+1)))</f>
        <v/>
      </c>
      <c r="U342" s="130" t="str">
        <f t="shared" si="29"/>
        <v/>
      </c>
      <c r="V342" s="128" t="str">
        <f>IF($B342="","",K342/(POWER(1+'Qredits maandlasten'!$C$8,$B342-1+1)))</f>
        <v/>
      </c>
      <c r="W342" s="127"/>
    </row>
    <row r="343" spans="1:23" s="132" customFormat="1" x14ac:dyDescent="0.2">
      <c r="A343" s="123"/>
      <c r="B343" s="124" t="str">
        <f>IF($B342="","",IF($B342+1&gt;'Qredits maandlasten'!$C$4,"",Schema!B342+1))</f>
        <v/>
      </c>
      <c r="C343" s="125" t="str">
        <f>IF($B342="","",IF($B342+1&gt;'Qredits maandlasten'!$C$4,"",EOMONTH(C342,0)+1))</f>
        <v/>
      </c>
      <c r="D343" s="123"/>
      <c r="E343" s="125" t="str">
        <f>IF($B342="","",IF($B342+1&gt;'Qredits maandlasten'!$C$4,"",F342+1))</f>
        <v/>
      </c>
      <c r="F343" s="125" t="str">
        <f>IF($B342="","",IF($B342+1&gt;'Qredits maandlasten'!$C$4,"",EOMONTH(E343,0)))</f>
        <v/>
      </c>
      <c r="G343" s="126" t="str">
        <f>IF($B342="","",IF($B342+1&gt;'Qredits maandlasten'!$C$4,"",(_xlfn.DAYS(F343,E343)+1)/DAY(F343)))</f>
        <v/>
      </c>
      <c r="H343" s="127"/>
      <c r="I343" s="128" t="str">
        <f>IF($B342="","",IF($B342+1&gt;'Qredits maandlasten'!$C$4,"",I342-J342))</f>
        <v/>
      </c>
      <c r="J343" s="128" t="str">
        <f>IF($B342="","",IF($B342+1&gt;'Qredits maandlasten'!$C$4,"",IF(B342&lt;'Qredits maandlasten'!$C$11-1,0,IF('Qredits maandlasten'!$C$10=dropdowns!$A$121,'Qredits maandlasten'!$J$3,IF('Qredits maandlasten'!$C$10=dropdowns!$A$120,IFERROR('Qredits maandlasten'!$J$3-K343,0),0)))))</f>
        <v/>
      </c>
      <c r="K343" s="128" t="str">
        <f>IF($B342="","",IF($B342+1&gt;'Qredits maandlasten'!$C$4,"",G343*I343*'Qredits maandlasten'!$C$8))</f>
        <v/>
      </c>
      <c r="L343" s="128" t="str">
        <f t="shared" si="27"/>
        <v/>
      </c>
      <c r="M343" s="128" t="str">
        <f t="shared" si="25"/>
        <v/>
      </c>
      <c r="N343" s="127"/>
      <c r="O343" s="129" t="str">
        <f>IF($B343="","",'Qredits maandlasten'!$C$8)</f>
        <v/>
      </c>
      <c r="P343" s="129" t="str">
        <f>IF($B343="","",'Qredits maandlasten'!$C$8*(POWER(1+'Qredits maandlasten'!$C$8,$B343-1+1)))</f>
        <v/>
      </c>
      <c r="Q343" s="129" t="str">
        <f t="shared" si="28"/>
        <v/>
      </c>
      <c r="R343" s="127"/>
      <c r="S343" s="128" t="str">
        <f t="shared" si="26"/>
        <v/>
      </c>
      <c r="T343" s="128" t="str">
        <f>IF(S343="","",J343/(POWER(1+'Qredits maandlasten'!$C$8,$B343-1+1)))</f>
        <v/>
      </c>
      <c r="U343" s="130" t="str">
        <f t="shared" si="29"/>
        <v/>
      </c>
      <c r="V343" s="128" t="str">
        <f>IF($B343="","",K343/(POWER(1+'Qredits maandlasten'!$C$8,$B343-1+1)))</f>
        <v/>
      </c>
      <c r="W343" s="127"/>
    </row>
    <row r="344" spans="1:23" s="132" customFormat="1" x14ac:dyDescent="0.2">
      <c r="A344" s="123"/>
      <c r="B344" s="124" t="str">
        <f>IF($B343="","",IF($B343+1&gt;'Qredits maandlasten'!$C$4,"",Schema!B343+1))</f>
        <v/>
      </c>
      <c r="C344" s="125" t="str">
        <f>IF($B343="","",IF($B343+1&gt;'Qredits maandlasten'!$C$4,"",EOMONTH(C343,0)+1))</f>
        <v/>
      </c>
      <c r="D344" s="123"/>
      <c r="E344" s="125" t="str">
        <f>IF($B343="","",IF($B343+1&gt;'Qredits maandlasten'!$C$4,"",F343+1))</f>
        <v/>
      </c>
      <c r="F344" s="125" t="str">
        <f>IF($B343="","",IF($B343+1&gt;'Qredits maandlasten'!$C$4,"",EOMONTH(E344,0)))</f>
        <v/>
      </c>
      <c r="G344" s="126" t="str">
        <f>IF($B343="","",IF($B343+1&gt;'Qredits maandlasten'!$C$4,"",(_xlfn.DAYS(F344,E344)+1)/DAY(F344)))</f>
        <v/>
      </c>
      <c r="H344" s="127"/>
      <c r="I344" s="128" t="str">
        <f>IF($B343="","",IF($B343+1&gt;'Qredits maandlasten'!$C$4,"",I343-J343))</f>
        <v/>
      </c>
      <c r="J344" s="128" t="str">
        <f>IF($B343="","",IF($B343+1&gt;'Qredits maandlasten'!$C$4,"",IF(B343&lt;'Qredits maandlasten'!$C$11-1,0,IF('Qredits maandlasten'!$C$10=dropdowns!$A$121,'Qredits maandlasten'!$J$3,IF('Qredits maandlasten'!$C$10=dropdowns!$A$120,IFERROR('Qredits maandlasten'!$J$3-K344,0),0)))))</f>
        <v/>
      </c>
      <c r="K344" s="128" t="str">
        <f>IF($B343="","",IF($B343+1&gt;'Qredits maandlasten'!$C$4,"",G344*I344*'Qredits maandlasten'!$C$8))</f>
        <v/>
      </c>
      <c r="L344" s="128" t="str">
        <f t="shared" si="27"/>
        <v/>
      </c>
      <c r="M344" s="128" t="str">
        <f t="shared" si="25"/>
        <v/>
      </c>
      <c r="N344" s="127"/>
      <c r="O344" s="129" t="str">
        <f>IF($B344="","",'Qredits maandlasten'!$C$8)</f>
        <v/>
      </c>
      <c r="P344" s="129" t="str">
        <f>IF($B344="","",'Qredits maandlasten'!$C$8*(POWER(1+'Qredits maandlasten'!$C$8,$B344-1+1)))</f>
        <v/>
      </c>
      <c r="Q344" s="129" t="str">
        <f t="shared" si="28"/>
        <v/>
      </c>
      <c r="R344" s="127"/>
      <c r="S344" s="128" t="str">
        <f t="shared" si="26"/>
        <v/>
      </c>
      <c r="T344" s="128" t="str">
        <f>IF(S344="","",J344/(POWER(1+'Qredits maandlasten'!$C$8,$B344-1+1)))</f>
        <v/>
      </c>
      <c r="U344" s="130" t="str">
        <f t="shared" si="29"/>
        <v/>
      </c>
      <c r="V344" s="128" t="str">
        <f>IF($B344="","",K344/(POWER(1+'Qredits maandlasten'!$C$8,$B344-1+1)))</f>
        <v/>
      </c>
      <c r="W344" s="127"/>
    </row>
    <row r="345" spans="1:23" s="132" customFormat="1" x14ac:dyDescent="0.2">
      <c r="A345" s="123"/>
      <c r="B345" s="124" t="str">
        <f>IF($B344="","",IF($B344+1&gt;'Qredits maandlasten'!$C$4,"",Schema!B344+1))</f>
        <v/>
      </c>
      <c r="C345" s="125" t="str">
        <f>IF($B344="","",IF($B344+1&gt;'Qredits maandlasten'!$C$4,"",EOMONTH(C344,0)+1))</f>
        <v/>
      </c>
      <c r="D345" s="123"/>
      <c r="E345" s="125" t="str">
        <f>IF($B344="","",IF($B344+1&gt;'Qredits maandlasten'!$C$4,"",F344+1))</f>
        <v/>
      </c>
      <c r="F345" s="125" t="str">
        <f>IF($B344="","",IF($B344+1&gt;'Qredits maandlasten'!$C$4,"",EOMONTH(E345,0)))</f>
        <v/>
      </c>
      <c r="G345" s="126" t="str">
        <f>IF($B344="","",IF($B344+1&gt;'Qredits maandlasten'!$C$4,"",(_xlfn.DAYS(F345,E345)+1)/DAY(F345)))</f>
        <v/>
      </c>
      <c r="H345" s="127"/>
      <c r="I345" s="128" t="str">
        <f>IF($B344="","",IF($B344+1&gt;'Qredits maandlasten'!$C$4,"",I344-J344))</f>
        <v/>
      </c>
      <c r="J345" s="128" t="str">
        <f>IF($B344="","",IF($B344+1&gt;'Qredits maandlasten'!$C$4,"",IF(B344&lt;'Qredits maandlasten'!$C$11-1,0,IF('Qredits maandlasten'!$C$10=dropdowns!$A$121,'Qredits maandlasten'!$J$3,IF('Qredits maandlasten'!$C$10=dropdowns!$A$120,IFERROR('Qredits maandlasten'!$J$3-K345,0),0)))))</f>
        <v/>
      </c>
      <c r="K345" s="128" t="str">
        <f>IF($B344="","",IF($B344+1&gt;'Qredits maandlasten'!$C$4,"",G345*I345*'Qredits maandlasten'!$C$8))</f>
        <v/>
      </c>
      <c r="L345" s="128" t="str">
        <f t="shared" si="27"/>
        <v/>
      </c>
      <c r="M345" s="128" t="str">
        <f t="shared" si="25"/>
        <v/>
      </c>
      <c r="N345" s="127"/>
      <c r="O345" s="129" t="str">
        <f>IF($B345="","",'Qredits maandlasten'!$C$8)</f>
        <v/>
      </c>
      <c r="P345" s="129" t="str">
        <f>IF($B345="","",'Qredits maandlasten'!$C$8*(POWER(1+'Qredits maandlasten'!$C$8,$B345-1+1)))</f>
        <v/>
      </c>
      <c r="Q345" s="129" t="str">
        <f t="shared" si="28"/>
        <v/>
      </c>
      <c r="R345" s="127"/>
      <c r="S345" s="128" t="str">
        <f t="shared" si="26"/>
        <v/>
      </c>
      <c r="T345" s="128" t="str">
        <f>IF(S345="","",J345/(POWER(1+'Qredits maandlasten'!$C$8,$B345-1+1)))</f>
        <v/>
      </c>
      <c r="U345" s="130" t="str">
        <f t="shared" si="29"/>
        <v/>
      </c>
      <c r="V345" s="128" t="str">
        <f>IF($B345="","",K345/(POWER(1+'Qredits maandlasten'!$C$8,$B345-1+1)))</f>
        <v/>
      </c>
      <c r="W345" s="127"/>
    </row>
    <row r="346" spans="1:23" s="132" customFormat="1" x14ac:dyDescent="0.2">
      <c r="A346" s="123"/>
      <c r="B346" s="124" t="str">
        <f>IF($B345="","",IF($B345+1&gt;'Qredits maandlasten'!$C$4,"",Schema!B345+1))</f>
        <v/>
      </c>
      <c r="C346" s="125" t="str">
        <f>IF($B345="","",IF($B345+1&gt;'Qredits maandlasten'!$C$4,"",EOMONTH(C345,0)+1))</f>
        <v/>
      </c>
      <c r="D346" s="123"/>
      <c r="E346" s="125" t="str">
        <f>IF($B345="","",IF($B345+1&gt;'Qredits maandlasten'!$C$4,"",F345+1))</f>
        <v/>
      </c>
      <c r="F346" s="125" t="str">
        <f>IF($B345="","",IF($B345+1&gt;'Qredits maandlasten'!$C$4,"",EOMONTH(E346,0)))</f>
        <v/>
      </c>
      <c r="G346" s="126" t="str">
        <f>IF($B345="","",IF($B345+1&gt;'Qredits maandlasten'!$C$4,"",(_xlfn.DAYS(F346,E346)+1)/DAY(F346)))</f>
        <v/>
      </c>
      <c r="H346" s="127"/>
      <c r="I346" s="128" t="str">
        <f>IF($B345="","",IF($B345+1&gt;'Qredits maandlasten'!$C$4,"",I345-J345))</f>
        <v/>
      </c>
      <c r="J346" s="128" t="str">
        <f>IF($B345="","",IF($B345+1&gt;'Qredits maandlasten'!$C$4,"",IF(B345&lt;'Qredits maandlasten'!$C$11-1,0,IF('Qredits maandlasten'!$C$10=dropdowns!$A$121,'Qredits maandlasten'!$J$3,IF('Qredits maandlasten'!$C$10=dropdowns!$A$120,IFERROR('Qredits maandlasten'!$J$3-K346,0),0)))))</f>
        <v/>
      </c>
      <c r="K346" s="128" t="str">
        <f>IF($B345="","",IF($B345+1&gt;'Qredits maandlasten'!$C$4,"",G346*I346*'Qredits maandlasten'!$C$8))</f>
        <v/>
      </c>
      <c r="L346" s="128" t="str">
        <f t="shared" si="27"/>
        <v/>
      </c>
      <c r="M346" s="128" t="str">
        <f t="shared" si="25"/>
        <v/>
      </c>
      <c r="N346" s="127"/>
      <c r="O346" s="129" t="str">
        <f>IF($B346="","",'Qredits maandlasten'!$C$8)</f>
        <v/>
      </c>
      <c r="P346" s="129" t="str">
        <f>IF($B346="","",'Qredits maandlasten'!$C$8*(POWER(1+'Qredits maandlasten'!$C$8,$B346-1+1)))</f>
        <v/>
      </c>
      <c r="Q346" s="129" t="str">
        <f t="shared" si="28"/>
        <v/>
      </c>
      <c r="R346" s="127"/>
      <c r="S346" s="128" t="str">
        <f t="shared" si="26"/>
        <v/>
      </c>
      <c r="T346" s="128" t="str">
        <f>IF(S346="","",J346/(POWER(1+'Qredits maandlasten'!$C$8,$B346-1+1)))</f>
        <v/>
      </c>
      <c r="U346" s="130" t="str">
        <f t="shared" si="29"/>
        <v/>
      </c>
      <c r="V346" s="128" t="str">
        <f>IF($B346="","",K346/(POWER(1+'Qredits maandlasten'!$C$8,$B346-1+1)))</f>
        <v/>
      </c>
      <c r="W346" s="127"/>
    </row>
    <row r="347" spans="1:23" s="132" customFormat="1" x14ac:dyDescent="0.2">
      <c r="A347" s="123"/>
      <c r="B347" s="124" t="str">
        <f>IF($B346="","",IF($B346+1&gt;'Qredits maandlasten'!$C$4,"",Schema!B346+1))</f>
        <v/>
      </c>
      <c r="C347" s="125" t="str">
        <f>IF($B346="","",IF($B346+1&gt;'Qredits maandlasten'!$C$4,"",EOMONTH(C346,0)+1))</f>
        <v/>
      </c>
      <c r="D347" s="123"/>
      <c r="E347" s="125" t="str">
        <f>IF($B346="","",IF($B346+1&gt;'Qredits maandlasten'!$C$4,"",F346+1))</f>
        <v/>
      </c>
      <c r="F347" s="125" t="str">
        <f>IF($B346="","",IF($B346+1&gt;'Qredits maandlasten'!$C$4,"",EOMONTH(E347,0)))</f>
        <v/>
      </c>
      <c r="G347" s="126" t="str">
        <f>IF($B346="","",IF($B346+1&gt;'Qredits maandlasten'!$C$4,"",(_xlfn.DAYS(F347,E347)+1)/DAY(F347)))</f>
        <v/>
      </c>
      <c r="H347" s="127"/>
      <c r="I347" s="128" t="str">
        <f>IF($B346="","",IF($B346+1&gt;'Qredits maandlasten'!$C$4,"",I346-J346))</f>
        <v/>
      </c>
      <c r="J347" s="128" t="str">
        <f>IF($B346="","",IF($B346+1&gt;'Qredits maandlasten'!$C$4,"",IF(B346&lt;'Qredits maandlasten'!$C$11-1,0,IF('Qredits maandlasten'!$C$10=dropdowns!$A$121,'Qredits maandlasten'!$J$3,IF('Qredits maandlasten'!$C$10=dropdowns!$A$120,IFERROR('Qredits maandlasten'!$J$3-K347,0),0)))))</f>
        <v/>
      </c>
      <c r="K347" s="128" t="str">
        <f>IF($B346="","",IF($B346+1&gt;'Qredits maandlasten'!$C$4,"",G347*I347*'Qredits maandlasten'!$C$8))</f>
        <v/>
      </c>
      <c r="L347" s="128" t="str">
        <f t="shared" si="27"/>
        <v/>
      </c>
      <c r="M347" s="128" t="str">
        <f t="shared" si="25"/>
        <v/>
      </c>
      <c r="N347" s="127"/>
      <c r="O347" s="129" t="str">
        <f>IF($B347="","",'Qredits maandlasten'!$C$8)</f>
        <v/>
      </c>
      <c r="P347" s="129" t="str">
        <f>IF($B347="","",'Qredits maandlasten'!$C$8*(POWER(1+'Qredits maandlasten'!$C$8,$B347-1+1)))</f>
        <v/>
      </c>
      <c r="Q347" s="129" t="str">
        <f t="shared" si="28"/>
        <v/>
      </c>
      <c r="R347" s="127"/>
      <c r="S347" s="128" t="str">
        <f t="shared" si="26"/>
        <v/>
      </c>
      <c r="T347" s="128" t="str">
        <f>IF(S347="","",J347/(POWER(1+'Qredits maandlasten'!$C$8,$B347-1+1)))</f>
        <v/>
      </c>
      <c r="U347" s="130" t="str">
        <f t="shared" si="29"/>
        <v/>
      </c>
      <c r="V347" s="128" t="str">
        <f>IF($B347="","",K347/(POWER(1+'Qredits maandlasten'!$C$8,$B347-1+1)))</f>
        <v/>
      </c>
      <c r="W347" s="127"/>
    </row>
    <row r="348" spans="1:23" s="132" customFormat="1" x14ac:dyDescent="0.2">
      <c r="A348" s="123"/>
      <c r="B348" s="124" t="str">
        <f>IF($B347="","",IF($B347+1&gt;'Qredits maandlasten'!$C$4,"",Schema!B347+1))</f>
        <v/>
      </c>
      <c r="C348" s="125" t="str">
        <f>IF($B347="","",IF($B347+1&gt;'Qredits maandlasten'!$C$4,"",EOMONTH(C347,0)+1))</f>
        <v/>
      </c>
      <c r="D348" s="123"/>
      <c r="E348" s="125" t="str">
        <f>IF($B347="","",IF($B347+1&gt;'Qredits maandlasten'!$C$4,"",F347+1))</f>
        <v/>
      </c>
      <c r="F348" s="125" t="str">
        <f>IF($B347="","",IF($B347+1&gt;'Qredits maandlasten'!$C$4,"",EOMONTH(E348,0)))</f>
        <v/>
      </c>
      <c r="G348" s="126" t="str">
        <f>IF($B347="","",IF($B347+1&gt;'Qredits maandlasten'!$C$4,"",(_xlfn.DAYS(F348,E348)+1)/DAY(F348)))</f>
        <v/>
      </c>
      <c r="H348" s="127"/>
      <c r="I348" s="128" t="str">
        <f>IF($B347="","",IF($B347+1&gt;'Qredits maandlasten'!$C$4,"",I347-J347))</f>
        <v/>
      </c>
      <c r="J348" s="128" t="str">
        <f>IF($B347="","",IF($B347+1&gt;'Qredits maandlasten'!$C$4,"",IF(B347&lt;'Qredits maandlasten'!$C$11-1,0,IF('Qredits maandlasten'!$C$10=dropdowns!$A$121,'Qredits maandlasten'!$J$3,IF('Qredits maandlasten'!$C$10=dropdowns!$A$120,IFERROR('Qredits maandlasten'!$J$3-K348,0),0)))))</f>
        <v/>
      </c>
      <c r="K348" s="128" t="str">
        <f>IF($B347="","",IF($B347+1&gt;'Qredits maandlasten'!$C$4,"",G348*I348*'Qredits maandlasten'!$C$8))</f>
        <v/>
      </c>
      <c r="L348" s="128" t="str">
        <f t="shared" si="27"/>
        <v/>
      </c>
      <c r="M348" s="128" t="str">
        <f t="shared" si="25"/>
        <v/>
      </c>
      <c r="N348" s="127"/>
      <c r="O348" s="129" t="str">
        <f>IF($B348="","",'Qredits maandlasten'!$C$8)</f>
        <v/>
      </c>
      <c r="P348" s="129" t="str">
        <f>IF($B348="","",'Qredits maandlasten'!$C$8*(POWER(1+'Qredits maandlasten'!$C$8,$B348-1+1)))</f>
        <v/>
      </c>
      <c r="Q348" s="129" t="str">
        <f t="shared" si="28"/>
        <v/>
      </c>
      <c r="R348" s="127"/>
      <c r="S348" s="128" t="str">
        <f t="shared" si="26"/>
        <v/>
      </c>
      <c r="T348" s="128" t="str">
        <f>IF(S348="","",J348/(POWER(1+'Qredits maandlasten'!$C$8,$B348-1+1)))</f>
        <v/>
      </c>
      <c r="U348" s="130" t="str">
        <f t="shared" si="29"/>
        <v/>
      </c>
      <c r="V348" s="128" t="str">
        <f>IF($B348="","",K348/(POWER(1+'Qredits maandlasten'!$C$8,$B348-1+1)))</f>
        <v/>
      </c>
      <c r="W348" s="127"/>
    </row>
    <row r="349" spans="1:23" s="132" customFormat="1" x14ac:dyDescent="0.2">
      <c r="A349" s="123"/>
      <c r="B349" s="124" t="str">
        <f>IF($B348="","",IF($B348+1&gt;'Qredits maandlasten'!$C$4,"",Schema!B348+1))</f>
        <v/>
      </c>
      <c r="C349" s="125" t="str">
        <f>IF($B348="","",IF($B348+1&gt;'Qredits maandlasten'!$C$4,"",EOMONTH(C348,0)+1))</f>
        <v/>
      </c>
      <c r="D349" s="123"/>
      <c r="E349" s="125" t="str">
        <f>IF($B348="","",IF($B348+1&gt;'Qredits maandlasten'!$C$4,"",F348+1))</f>
        <v/>
      </c>
      <c r="F349" s="125" t="str">
        <f>IF($B348="","",IF($B348+1&gt;'Qredits maandlasten'!$C$4,"",EOMONTH(E349,0)))</f>
        <v/>
      </c>
      <c r="G349" s="126" t="str">
        <f>IF($B348="","",IF($B348+1&gt;'Qredits maandlasten'!$C$4,"",(_xlfn.DAYS(F349,E349)+1)/DAY(F349)))</f>
        <v/>
      </c>
      <c r="H349" s="127"/>
      <c r="I349" s="128" t="str">
        <f>IF($B348="","",IF($B348+1&gt;'Qredits maandlasten'!$C$4,"",I348-J348))</f>
        <v/>
      </c>
      <c r="J349" s="128" t="str">
        <f>IF($B348="","",IF($B348+1&gt;'Qredits maandlasten'!$C$4,"",IF(B348&lt;'Qredits maandlasten'!$C$11-1,0,IF('Qredits maandlasten'!$C$10=dropdowns!$A$121,'Qredits maandlasten'!$J$3,IF('Qredits maandlasten'!$C$10=dropdowns!$A$120,IFERROR('Qredits maandlasten'!$J$3-K349,0),0)))))</f>
        <v/>
      </c>
      <c r="K349" s="128" t="str">
        <f>IF($B348="","",IF($B348+1&gt;'Qredits maandlasten'!$C$4,"",G349*I349*'Qredits maandlasten'!$C$8))</f>
        <v/>
      </c>
      <c r="L349" s="128" t="str">
        <f t="shared" si="27"/>
        <v/>
      </c>
      <c r="M349" s="128" t="str">
        <f t="shared" si="25"/>
        <v/>
      </c>
      <c r="N349" s="127"/>
      <c r="O349" s="129" t="str">
        <f>IF($B349="","",'Qredits maandlasten'!$C$8)</f>
        <v/>
      </c>
      <c r="P349" s="129" t="str">
        <f>IF($B349="","",'Qredits maandlasten'!$C$8*(POWER(1+'Qredits maandlasten'!$C$8,$B349-1+1)))</f>
        <v/>
      </c>
      <c r="Q349" s="129" t="str">
        <f t="shared" si="28"/>
        <v/>
      </c>
      <c r="R349" s="127"/>
      <c r="S349" s="128" t="str">
        <f t="shared" si="26"/>
        <v/>
      </c>
      <c r="T349" s="128" t="str">
        <f>IF(S349="","",J349/(POWER(1+'Qredits maandlasten'!$C$8,$B349-1+1)))</f>
        <v/>
      </c>
      <c r="U349" s="130" t="str">
        <f t="shared" si="29"/>
        <v/>
      </c>
      <c r="V349" s="128" t="str">
        <f>IF($B349="","",K349/(POWER(1+'Qredits maandlasten'!$C$8,$B349-1+1)))</f>
        <v/>
      </c>
      <c r="W349" s="127"/>
    </row>
    <row r="350" spans="1:23" s="132" customFormat="1" x14ac:dyDescent="0.2">
      <c r="A350" s="123"/>
      <c r="B350" s="124" t="str">
        <f>IF($B349="","",IF($B349+1&gt;'Qredits maandlasten'!$C$4,"",Schema!B349+1))</f>
        <v/>
      </c>
      <c r="C350" s="125" t="str">
        <f>IF($B349="","",IF($B349+1&gt;'Qredits maandlasten'!$C$4,"",EOMONTH(C349,0)+1))</f>
        <v/>
      </c>
      <c r="D350" s="123"/>
      <c r="E350" s="125" t="str">
        <f>IF($B349="","",IF($B349+1&gt;'Qredits maandlasten'!$C$4,"",F349+1))</f>
        <v/>
      </c>
      <c r="F350" s="125" t="str">
        <f>IF($B349="","",IF($B349+1&gt;'Qredits maandlasten'!$C$4,"",EOMONTH(E350,0)))</f>
        <v/>
      </c>
      <c r="G350" s="126" t="str">
        <f>IF($B349="","",IF($B349+1&gt;'Qredits maandlasten'!$C$4,"",(_xlfn.DAYS(F350,E350)+1)/DAY(F350)))</f>
        <v/>
      </c>
      <c r="H350" s="127"/>
      <c r="I350" s="128" t="str">
        <f>IF($B349="","",IF($B349+1&gt;'Qredits maandlasten'!$C$4,"",I349-J349))</f>
        <v/>
      </c>
      <c r="J350" s="128" t="str">
        <f>IF($B349="","",IF($B349+1&gt;'Qredits maandlasten'!$C$4,"",IF(B349&lt;'Qredits maandlasten'!$C$11-1,0,IF('Qredits maandlasten'!$C$10=dropdowns!$A$121,'Qredits maandlasten'!$J$3,IF('Qredits maandlasten'!$C$10=dropdowns!$A$120,IFERROR('Qredits maandlasten'!$J$3-K350,0),0)))))</f>
        <v/>
      </c>
      <c r="K350" s="128" t="str">
        <f>IF($B349="","",IF($B349+1&gt;'Qredits maandlasten'!$C$4,"",G350*I350*'Qredits maandlasten'!$C$8))</f>
        <v/>
      </c>
      <c r="L350" s="128" t="str">
        <f t="shared" si="27"/>
        <v/>
      </c>
      <c r="M350" s="128" t="str">
        <f t="shared" si="25"/>
        <v/>
      </c>
      <c r="N350" s="127"/>
      <c r="O350" s="129" t="str">
        <f>IF($B350="","",'Qredits maandlasten'!$C$8)</f>
        <v/>
      </c>
      <c r="P350" s="129" t="str">
        <f>IF($B350="","",'Qredits maandlasten'!$C$8*(POWER(1+'Qredits maandlasten'!$C$8,$B350-1+1)))</f>
        <v/>
      </c>
      <c r="Q350" s="129" t="str">
        <f t="shared" si="28"/>
        <v/>
      </c>
      <c r="R350" s="127"/>
      <c r="S350" s="128" t="str">
        <f t="shared" si="26"/>
        <v/>
      </c>
      <c r="T350" s="128" t="str">
        <f>IF(S350="","",J350/(POWER(1+'Qredits maandlasten'!$C$8,$B350-1+1)))</f>
        <v/>
      </c>
      <c r="U350" s="130" t="str">
        <f t="shared" si="29"/>
        <v/>
      </c>
      <c r="V350" s="128" t="str">
        <f>IF($B350="","",K350/(POWER(1+'Qredits maandlasten'!$C$8,$B350-1+1)))</f>
        <v/>
      </c>
      <c r="W350" s="127"/>
    </row>
    <row r="351" spans="1:23" s="132" customFormat="1" x14ac:dyDescent="0.2">
      <c r="A351" s="123"/>
      <c r="B351" s="124" t="str">
        <f>IF($B350="","",IF($B350+1&gt;'Qredits maandlasten'!$C$4,"",Schema!B350+1))</f>
        <v/>
      </c>
      <c r="C351" s="125" t="str">
        <f>IF($B350="","",IF($B350+1&gt;'Qredits maandlasten'!$C$4,"",EOMONTH(C350,0)+1))</f>
        <v/>
      </c>
      <c r="D351" s="123"/>
      <c r="E351" s="125" t="str">
        <f>IF($B350="","",IF($B350+1&gt;'Qredits maandlasten'!$C$4,"",F350+1))</f>
        <v/>
      </c>
      <c r="F351" s="125" t="str">
        <f>IF($B350="","",IF($B350+1&gt;'Qredits maandlasten'!$C$4,"",EOMONTH(E351,0)))</f>
        <v/>
      </c>
      <c r="G351" s="126" t="str">
        <f>IF($B350="","",IF($B350+1&gt;'Qredits maandlasten'!$C$4,"",(_xlfn.DAYS(F351,E351)+1)/DAY(F351)))</f>
        <v/>
      </c>
      <c r="H351" s="127"/>
      <c r="I351" s="128" t="str">
        <f>IF($B350="","",IF($B350+1&gt;'Qredits maandlasten'!$C$4,"",I350-J350))</f>
        <v/>
      </c>
      <c r="J351" s="128" t="str">
        <f>IF($B350="","",IF($B350+1&gt;'Qredits maandlasten'!$C$4,"",IF(B350&lt;'Qredits maandlasten'!$C$11-1,0,IF('Qredits maandlasten'!$C$10=dropdowns!$A$121,'Qredits maandlasten'!$J$3,IF('Qredits maandlasten'!$C$10=dropdowns!$A$120,IFERROR('Qredits maandlasten'!$J$3-K351,0),0)))))</f>
        <v/>
      </c>
      <c r="K351" s="128" t="str">
        <f>IF($B350="","",IF($B350+1&gt;'Qredits maandlasten'!$C$4,"",G351*I351*'Qredits maandlasten'!$C$8))</f>
        <v/>
      </c>
      <c r="L351" s="128" t="str">
        <f t="shared" si="27"/>
        <v/>
      </c>
      <c r="M351" s="128" t="str">
        <f t="shared" si="25"/>
        <v/>
      </c>
      <c r="N351" s="127"/>
      <c r="O351" s="129" t="str">
        <f>IF($B351="","",'Qredits maandlasten'!$C$8)</f>
        <v/>
      </c>
      <c r="P351" s="129" t="str">
        <f>IF($B351="","",'Qredits maandlasten'!$C$8*(POWER(1+'Qredits maandlasten'!$C$8,$B351-1+1)))</f>
        <v/>
      </c>
      <c r="Q351" s="129" t="str">
        <f t="shared" si="28"/>
        <v/>
      </c>
      <c r="R351" s="127"/>
      <c r="S351" s="128" t="str">
        <f t="shared" si="26"/>
        <v/>
      </c>
      <c r="T351" s="128" t="str">
        <f>IF(S351="","",J351/(POWER(1+'Qredits maandlasten'!$C$8,$B351-1+1)))</f>
        <v/>
      </c>
      <c r="U351" s="130" t="str">
        <f t="shared" si="29"/>
        <v/>
      </c>
      <c r="V351" s="128" t="str">
        <f>IF($B351="","",K351/(POWER(1+'Qredits maandlasten'!$C$8,$B351-1+1)))</f>
        <v/>
      </c>
      <c r="W351" s="127"/>
    </row>
    <row r="352" spans="1:23" s="132" customFormat="1" x14ac:dyDescent="0.2">
      <c r="A352" s="123"/>
      <c r="B352" s="124" t="str">
        <f>IF($B351="","",IF($B351+1&gt;'Qredits maandlasten'!$C$4,"",Schema!B351+1))</f>
        <v/>
      </c>
      <c r="C352" s="125" t="str">
        <f>IF($B351="","",IF($B351+1&gt;'Qredits maandlasten'!$C$4,"",EOMONTH(C351,0)+1))</f>
        <v/>
      </c>
      <c r="D352" s="123"/>
      <c r="E352" s="125" t="str">
        <f>IF($B351="","",IF($B351+1&gt;'Qredits maandlasten'!$C$4,"",F351+1))</f>
        <v/>
      </c>
      <c r="F352" s="125" t="str">
        <f>IF($B351="","",IF($B351+1&gt;'Qredits maandlasten'!$C$4,"",EOMONTH(E352,0)))</f>
        <v/>
      </c>
      <c r="G352" s="126" t="str">
        <f>IF($B351="","",IF($B351+1&gt;'Qredits maandlasten'!$C$4,"",(_xlfn.DAYS(F352,E352)+1)/DAY(F352)))</f>
        <v/>
      </c>
      <c r="H352" s="127"/>
      <c r="I352" s="128" t="str">
        <f>IF($B351="","",IF($B351+1&gt;'Qredits maandlasten'!$C$4,"",I351-J351))</f>
        <v/>
      </c>
      <c r="J352" s="128" t="str">
        <f>IF($B351="","",IF($B351+1&gt;'Qredits maandlasten'!$C$4,"",IF(B351&lt;'Qredits maandlasten'!$C$11-1,0,IF('Qredits maandlasten'!$C$10=dropdowns!$A$121,'Qredits maandlasten'!$J$3,IF('Qredits maandlasten'!$C$10=dropdowns!$A$120,IFERROR('Qredits maandlasten'!$J$3-K352,0),0)))))</f>
        <v/>
      </c>
      <c r="K352" s="128" t="str">
        <f>IF($B351="","",IF($B351+1&gt;'Qredits maandlasten'!$C$4,"",G352*I352*'Qredits maandlasten'!$C$8))</f>
        <v/>
      </c>
      <c r="L352" s="128" t="str">
        <f t="shared" si="27"/>
        <v/>
      </c>
      <c r="M352" s="128" t="str">
        <f t="shared" si="25"/>
        <v/>
      </c>
      <c r="N352" s="127"/>
      <c r="O352" s="129" t="str">
        <f>IF($B352="","",'Qredits maandlasten'!$C$8)</f>
        <v/>
      </c>
      <c r="P352" s="129" t="str">
        <f>IF($B352="","",'Qredits maandlasten'!$C$8*(POWER(1+'Qredits maandlasten'!$C$8,$B352-1+1)))</f>
        <v/>
      </c>
      <c r="Q352" s="129" t="str">
        <f t="shared" si="28"/>
        <v/>
      </c>
      <c r="R352" s="127"/>
      <c r="S352" s="128" t="str">
        <f t="shared" si="26"/>
        <v/>
      </c>
      <c r="T352" s="128" t="str">
        <f>IF(S352="","",J352/(POWER(1+'Qredits maandlasten'!$C$8,$B352-1+1)))</f>
        <v/>
      </c>
      <c r="U352" s="130" t="str">
        <f t="shared" si="29"/>
        <v/>
      </c>
      <c r="V352" s="128" t="str">
        <f>IF($B352="","",K352/(POWER(1+'Qredits maandlasten'!$C$8,$B352-1+1)))</f>
        <v/>
      </c>
      <c r="W352" s="127"/>
    </row>
    <row r="353" spans="1:23" s="132" customFormat="1" x14ac:dyDescent="0.2">
      <c r="A353" s="123"/>
      <c r="B353" s="124" t="str">
        <f>IF($B352="","",IF($B352+1&gt;'Qredits maandlasten'!$C$4,"",Schema!B352+1))</f>
        <v/>
      </c>
      <c r="C353" s="125" t="str">
        <f>IF($B352="","",IF($B352+1&gt;'Qredits maandlasten'!$C$4,"",EOMONTH(C352,0)+1))</f>
        <v/>
      </c>
      <c r="D353" s="123"/>
      <c r="E353" s="125" t="str">
        <f>IF($B352="","",IF($B352+1&gt;'Qredits maandlasten'!$C$4,"",F352+1))</f>
        <v/>
      </c>
      <c r="F353" s="125" t="str">
        <f>IF($B352="","",IF($B352+1&gt;'Qredits maandlasten'!$C$4,"",EOMONTH(E353,0)))</f>
        <v/>
      </c>
      <c r="G353" s="126" t="str">
        <f>IF($B352="","",IF($B352+1&gt;'Qredits maandlasten'!$C$4,"",(_xlfn.DAYS(F353,E353)+1)/DAY(F353)))</f>
        <v/>
      </c>
      <c r="H353" s="127"/>
      <c r="I353" s="128" t="str">
        <f>IF($B352="","",IF($B352+1&gt;'Qredits maandlasten'!$C$4,"",I352-J352))</f>
        <v/>
      </c>
      <c r="J353" s="128" t="str">
        <f>IF($B352="","",IF($B352+1&gt;'Qredits maandlasten'!$C$4,"",IF(B352&lt;'Qredits maandlasten'!$C$11-1,0,IF('Qredits maandlasten'!$C$10=dropdowns!$A$121,'Qredits maandlasten'!$J$3,IF('Qredits maandlasten'!$C$10=dropdowns!$A$120,IFERROR('Qredits maandlasten'!$J$3-K353,0),0)))))</f>
        <v/>
      </c>
      <c r="K353" s="128" t="str">
        <f>IF($B352="","",IF($B352+1&gt;'Qredits maandlasten'!$C$4,"",G353*I353*'Qredits maandlasten'!$C$8))</f>
        <v/>
      </c>
      <c r="L353" s="128" t="str">
        <f t="shared" si="27"/>
        <v/>
      </c>
      <c r="M353" s="128" t="str">
        <f t="shared" si="25"/>
        <v/>
      </c>
      <c r="N353" s="127"/>
      <c r="O353" s="129" t="str">
        <f>IF($B353="","",'Qredits maandlasten'!$C$8)</f>
        <v/>
      </c>
      <c r="P353" s="129" t="str">
        <f>IF($B353="","",'Qredits maandlasten'!$C$8*(POWER(1+'Qredits maandlasten'!$C$8,$B353-1+1)))</f>
        <v/>
      </c>
      <c r="Q353" s="129" t="str">
        <f t="shared" si="28"/>
        <v/>
      </c>
      <c r="R353" s="127"/>
      <c r="S353" s="128" t="str">
        <f t="shared" si="26"/>
        <v/>
      </c>
      <c r="T353" s="128" t="str">
        <f>IF(S353="","",J353/(POWER(1+'Qredits maandlasten'!$C$8,$B353-1+1)))</f>
        <v/>
      </c>
      <c r="U353" s="130" t="str">
        <f t="shared" si="29"/>
        <v/>
      </c>
      <c r="V353" s="128" t="str">
        <f>IF($B353="","",K353/(POWER(1+'Qredits maandlasten'!$C$8,$B353-1+1)))</f>
        <v/>
      </c>
      <c r="W353" s="127"/>
    </row>
    <row r="354" spans="1:23" s="132" customFormat="1" x14ac:dyDescent="0.2">
      <c r="A354" s="123"/>
      <c r="B354" s="124" t="str">
        <f>IF($B353="","",IF($B353+1&gt;'Qredits maandlasten'!$C$4,"",Schema!B353+1))</f>
        <v/>
      </c>
      <c r="C354" s="125" t="str">
        <f>IF($B353="","",IF($B353+1&gt;'Qredits maandlasten'!$C$4,"",EOMONTH(C353,0)+1))</f>
        <v/>
      </c>
      <c r="D354" s="123"/>
      <c r="E354" s="125" t="str">
        <f>IF($B353="","",IF($B353+1&gt;'Qredits maandlasten'!$C$4,"",F353+1))</f>
        <v/>
      </c>
      <c r="F354" s="125" t="str">
        <f>IF($B353="","",IF($B353+1&gt;'Qredits maandlasten'!$C$4,"",EOMONTH(E354,0)))</f>
        <v/>
      </c>
      <c r="G354" s="126" t="str">
        <f>IF($B353="","",IF($B353+1&gt;'Qredits maandlasten'!$C$4,"",(_xlfn.DAYS(F354,E354)+1)/DAY(F354)))</f>
        <v/>
      </c>
      <c r="H354" s="127"/>
      <c r="I354" s="128" t="str">
        <f>IF($B353="","",IF($B353+1&gt;'Qredits maandlasten'!$C$4,"",I353-J353))</f>
        <v/>
      </c>
      <c r="J354" s="128" t="str">
        <f>IF($B353="","",IF($B353+1&gt;'Qredits maandlasten'!$C$4,"",IF(B353&lt;'Qredits maandlasten'!$C$11-1,0,IF('Qredits maandlasten'!$C$10=dropdowns!$A$121,'Qredits maandlasten'!$J$3,IF('Qredits maandlasten'!$C$10=dropdowns!$A$120,IFERROR('Qredits maandlasten'!$J$3-K354,0),0)))))</f>
        <v/>
      </c>
      <c r="K354" s="128" t="str">
        <f>IF($B353="","",IF($B353+1&gt;'Qredits maandlasten'!$C$4,"",G354*I354*'Qredits maandlasten'!$C$8))</f>
        <v/>
      </c>
      <c r="L354" s="128" t="str">
        <f t="shared" si="27"/>
        <v/>
      </c>
      <c r="M354" s="128" t="str">
        <f t="shared" si="25"/>
        <v/>
      </c>
      <c r="N354" s="127"/>
      <c r="O354" s="129" t="str">
        <f>IF($B354="","",'Qredits maandlasten'!$C$8)</f>
        <v/>
      </c>
      <c r="P354" s="129" t="str">
        <f>IF($B354="","",'Qredits maandlasten'!$C$8*(POWER(1+'Qredits maandlasten'!$C$8,$B354-1+1)))</f>
        <v/>
      </c>
      <c r="Q354" s="129" t="str">
        <f t="shared" si="28"/>
        <v/>
      </c>
      <c r="R354" s="127"/>
      <c r="S354" s="128" t="str">
        <f t="shared" si="26"/>
        <v/>
      </c>
      <c r="T354" s="128" t="str">
        <f>IF(S354="","",J354/(POWER(1+'Qredits maandlasten'!$C$8,$B354-1+1)))</f>
        <v/>
      </c>
      <c r="U354" s="130" t="str">
        <f t="shared" si="29"/>
        <v/>
      </c>
      <c r="V354" s="128" t="str">
        <f>IF($B354="","",K354/(POWER(1+'Qredits maandlasten'!$C$8,$B354-1+1)))</f>
        <v/>
      </c>
      <c r="W354" s="127"/>
    </row>
    <row r="355" spans="1:23" s="132" customFormat="1" x14ac:dyDescent="0.2">
      <c r="A355" s="123"/>
      <c r="B355" s="124" t="str">
        <f>IF($B354="","",IF($B354+1&gt;'Qredits maandlasten'!$C$4,"",Schema!B354+1))</f>
        <v/>
      </c>
      <c r="C355" s="125" t="str">
        <f>IF($B354="","",IF($B354+1&gt;'Qredits maandlasten'!$C$4,"",EOMONTH(C354,0)+1))</f>
        <v/>
      </c>
      <c r="D355" s="123"/>
      <c r="E355" s="125" t="str">
        <f>IF($B354="","",IF($B354+1&gt;'Qredits maandlasten'!$C$4,"",F354+1))</f>
        <v/>
      </c>
      <c r="F355" s="125" t="str">
        <f>IF($B354="","",IF($B354+1&gt;'Qredits maandlasten'!$C$4,"",EOMONTH(E355,0)))</f>
        <v/>
      </c>
      <c r="G355" s="126" t="str">
        <f>IF($B354="","",IF($B354+1&gt;'Qredits maandlasten'!$C$4,"",(_xlfn.DAYS(F355,E355)+1)/DAY(F355)))</f>
        <v/>
      </c>
      <c r="H355" s="127"/>
      <c r="I355" s="128" t="str">
        <f>IF($B354="","",IF($B354+1&gt;'Qredits maandlasten'!$C$4,"",I354-J354))</f>
        <v/>
      </c>
      <c r="J355" s="128" t="str">
        <f>IF($B354="","",IF($B354+1&gt;'Qredits maandlasten'!$C$4,"",IF(B354&lt;'Qredits maandlasten'!$C$11-1,0,IF('Qredits maandlasten'!$C$10=dropdowns!$A$121,'Qredits maandlasten'!$J$3,IF('Qredits maandlasten'!$C$10=dropdowns!$A$120,IFERROR('Qredits maandlasten'!$J$3-K355,0),0)))))</f>
        <v/>
      </c>
      <c r="K355" s="128" t="str">
        <f>IF($B354="","",IF($B354+1&gt;'Qredits maandlasten'!$C$4,"",G355*I355*'Qredits maandlasten'!$C$8))</f>
        <v/>
      </c>
      <c r="L355" s="128" t="str">
        <f t="shared" si="27"/>
        <v/>
      </c>
      <c r="M355" s="128" t="str">
        <f t="shared" si="25"/>
        <v/>
      </c>
      <c r="N355" s="127"/>
      <c r="O355" s="129" t="str">
        <f>IF($B355="","",'Qredits maandlasten'!$C$8)</f>
        <v/>
      </c>
      <c r="P355" s="129" t="str">
        <f>IF($B355="","",'Qredits maandlasten'!$C$8*(POWER(1+'Qredits maandlasten'!$C$8,$B355-1+1)))</f>
        <v/>
      </c>
      <c r="Q355" s="129" t="str">
        <f t="shared" si="28"/>
        <v/>
      </c>
      <c r="R355" s="127"/>
      <c r="S355" s="128" t="str">
        <f t="shared" si="26"/>
        <v/>
      </c>
      <c r="T355" s="128" t="str">
        <f>IF(S355="","",J355/(POWER(1+'Qredits maandlasten'!$C$8,$B355-1+1)))</f>
        <v/>
      </c>
      <c r="U355" s="130" t="str">
        <f t="shared" si="29"/>
        <v/>
      </c>
      <c r="V355" s="128" t="str">
        <f>IF($B355="","",K355/(POWER(1+'Qredits maandlasten'!$C$8,$B355-1+1)))</f>
        <v/>
      </c>
      <c r="W355" s="127"/>
    </row>
    <row r="356" spans="1:23" s="132" customFormat="1" x14ac:dyDescent="0.2">
      <c r="A356" s="123"/>
      <c r="B356" s="124" t="str">
        <f>IF($B355="","",IF($B355+1&gt;'Qredits maandlasten'!$C$4,"",Schema!B355+1))</f>
        <v/>
      </c>
      <c r="C356" s="125" t="str">
        <f>IF($B355="","",IF($B355+1&gt;'Qredits maandlasten'!$C$4,"",EOMONTH(C355,0)+1))</f>
        <v/>
      </c>
      <c r="D356" s="123"/>
      <c r="E356" s="125" t="str">
        <f>IF($B355="","",IF($B355+1&gt;'Qredits maandlasten'!$C$4,"",F355+1))</f>
        <v/>
      </c>
      <c r="F356" s="125" t="str">
        <f>IF($B355="","",IF($B355+1&gt;'Qredits maandlasten'!$C$4,"",EOMONTH(E356,0)))</f>
        <v/>
      </c>
      <c r="G356" s="126" t="str">
        <f>IF($B355="","",IF($B355+1&gt;'Qredits maandlasten'!$C$4,"",(_xlfn.DAYS(F356,E356)+1)/DAY(F356)))</f>
        <v/>
      </c>
      <c r="H356" s="127"/>
      <c r="I356" s="128" t="str">
        <f>IF($B355="","",IF($B355+1&gt;'Qredits maandlasten'!$C$4,"",I355-J355))</f>
        <v/>
      </c>
      <c r="J356" s="128" t="str">
        <f>IF($B355="","",IF($B355+1&gt;'Qredits maandlasten'!$C$4,"",IF(B355&lt;'Qredits maandlasten'!$C$11-1,0,IF('Qredits maandlasten'!$C$10=dropdowns!$A$121,'Qredits maandlasten'!$J$3,IF('Qredits maandlasten'!$C$10=dropdowns!$A$120,IFERROR('Qredits maandlasten'!$J$3-K356,0),0)))))</f>
        <v/>
      </c>
      <c r="K356" s="128" t="str">
        <f>IF($B355="","",IF($B355+1&gt;'Qredits maandlasten'!$C$4,"",G356*I356*'Qredits maandlasten'!$C$8))</f>
        <v/>
      </c>
      <c r="L356" s="128" t="str">
        <f t="shared" si="27"/>
        <v/>
      </c>
      <c r="M356" s="128" t="str">
        <f t="shared" si="25"/>
        <v/>
      </c>
      <c r="N356" s="127"/>
      <c r="O356" s="129" t="str">
        <f>IF($B356="","",'Qredits maandlasten'!$C$8)</f>
        <v/>
      </c>
      <c r="P356" s="129" t="str">
        <f>IF($B356="","",'Qredits maandlasten'!$C$8*(POWER(1+'Qredits maandlasten'!$C$8,$B356-1+1)))</f>
        <v/>
      </c>
      <c r="Q356" s="129" t="str">
        <f t="shared" si="28"/>
        <v/>
      </c>
      <c r="R356" s="127"/>
      <c r="S356" s="128" t="str">
        <f t="shared" si="26"/>
        <v/>
      </c>
      <c r="T356" s="128" t="str">
        <f>IF(S356="","",J356/(POWER(1+'Qredits maandlasten'!$C$8,$B356-1+1)))</f>
        <v/>
      </c>
      <c r="U356" s="130" t="str">
        <f t="shared" si="29"/>
        <v/>
      </c>
      <c r="V356" s="128" t="str">
        <f>IF($B356="","",K356/(POWER(1+'Qredits maandlasten'!$C$8,$B356-1+1)))</f>
        <v/>
      </c>
      <c r="W356" s="127"/>
    </row>
    <row r="357" spans="1:23" s="132" customFormat="1" x14ac:dyDescent="0.2">
      <c r="A357" s="123"/>
      <c r="B357" s="124" t="str">
        <f>IF($B356="","",IF($B356+1&gt;'Qredits maandlasten'!$C$4,"",Schema!B356+1))</f>
        <v/>
      </c>
      <c r="C357" s="125" t="str">
        <f>IF($B356="","",IF($B356+1&gt;'Qredits maandlasten'!$C$4,"",EOMONTH(C356,0)+1))</f>
        <v/>
      </c>
      <c r="D357" s="123"/>
      <c r="E357" s="125" t="str">
        <f>IF($B356="","",IF($B356+1&gt;'Qredits maandlasten'!$C$4,"",F356+1))</f>
        <v/>
      </c>
      <c r="F357" s="125" t="str">
        <f>IF($B356="","",IF($B356+1&gt;'Qredits maandlasten'!$C$4,"",EOMONTH(E357,0)))</f>
        <v/>
      </c>
      <c r="G357" s="126" t="str">
        <f>IF($B356="","",IF($B356+1&gt;'Qredits maandlasten'!$C$4,"",(_xlfn.DAYS(F357,E357)+1)/DAY(F357)))</f>
        <v/>
      </c>
      <c r="H357" s="127"/>
      <c r="I357" s="128" t="str">
        <f>IF($B356="","",IF($B356+1&gt;'Qredits maandlasten'!$C$4,"",I356-J356))</f>
        <v/>
      </c>
      <c r="J357" s="128" t="str">
        <f>IF($B356="","",IF($B356+1&gt;'Qredits maandlasten'!$C$4,"",IF(B356&lt;'Qredits maandlasten'!$C$11-1,0,IF('Qredits maandlasten'!$C$10=dropdowns!$A$121,'Qredits maandlasten'!$J$3,IF('Qredits maandlasten'!$C$10=dropdowns!$A$120,IFERROR('Qredits maandlasten'!$J$3-K357,0),0)))))</f>
        <v/>
      </c>
      <c r="K357" s="128" t="str">
        <f>IF($B356="","",IF($B356+1&gt;'Qredits maandlasten'!$C$4,"",G357*I357*'Qredits maandlasten'!$C$8))</f>
        <v/>
      </c>
      <c r="L357" s="128" t="str">
        <f t="shared" si="27"/>
        <v/>
      </c>
      <c r="M357" s="128" t="str">
        <f t="shared" si="25"/>
        <v/>
      </c>
      <c r="N357" s="127"/>
      <c r="O357" s="129" t="str">
        <f>IF($B357="","",'Qredits maandlasten'!$C$8)</f>
        <v/>
      </c>
      <c r="P357" s="129" t="str">
        <f>IF($B357="","",'Qredits maandlasten'!$C$8*(POWER(1+'Qredits maandlasten'!$C$8,$B357-1+1)))</f>
        <v/>
      </c>
      <c r="Q357" s="129" t="str">
        <f t="shared" si="28"/>
        <v/>
      </c>
      <c r="R357" s="127"/>
      <c r="S357" s="128" t="str">
        <f t="shared" si="26"/>
        <v/>
      </c>
      <c r="T357" s="128" t="str">
        <f>IF(S357="","",J357/(POWER(1+'Qredits maandlasten'!$C$8,$B357-1+1)))</f>
        <v/>
      </c>
      <c r="U357" s="130" t="str">
        <f t="shared" si="29"/>
        <v/>
      </c>
      <c r="V357" s="128" t="str">
        <f>IF($B357="","",K357/(POWER(1+'Qredits maandlasten'!$C$8,$B357-1+1)))</f>
        <v/>
      </c>
      <c r="W357" s="127"/>
    </row>
    <row r="358" spans="1:23" s="132" customFormat="1" x14ac:dyDescent="0.2">
      <c r="A358" s="123"/>
      <c r="B358" s="124" t="str">
        <f>IF($B357="","",IF($B357+1&gt;'Qredits maandlasten'!$C$4,"",Schema!B357+1))</f>
        <v/>
      </c>
      <c r="C358" s="125" t="str">
        <f>IF($B357="","",IF($B357+1&gt;'Qredits maandlasten'!$C$4,"",EOMONTH(C357,0)+1))</f>
        <v/>
      </c>
      <c r="D358" s="123"/>
      <c r="E358" s="125" t="str">
        <f>IF($B357="","",IF($B357+1&gt;'Qredits maandlasten'!$C$4,"",F357+1))</f>
        <v/>
      </c>
      <c r="F358" s="125" t="str">
        <f>IF($B357="","",IF($B357+1&gt;'Qredits maandlasten'!$C$4,"",EOMONTH(E358,0)))</f>
        <v/>
      </c>
      <c r="G358" s="126" t="str">
        <f>IF($B357="","",IF($B357+1&gt;'Qredits maandlasten'!$C$4,"",(_xlfn.DAYS(F358,E358)+1)/DAY(F358)))</f>
        <v/>
      </c>
      <c r="H358" s="127"/>
      <c r="I358" s="128" t="str">
        <f>IF($B357="","",IF($B357+1&gt;'Qredits maandlasten'!$C$4,"",I357-J357))</f>
        <v/>
      </c>
      <c r="J358" s="128" t="str">
        <f>IF($B357="","",IF($B357+1&gt;'Qredits maandlasten'!$C$4,"",IF(B357&lt;'Qredits maandlasten'!$C$11-1,0,IF('Qredits maandlasten'!$C$10=dropdowns!$A$121,'Qredits maandlasten'!$J$3,IF('Qredits maandlasten'!$C$10=dropdowns!$A$120,IFERROR('Qredits maandlasten'!$J$3-K358,0),0)))))</f>
        <v/>
      </c>
      <c r="K358" s="128" t="str">
        <f>IF($B357="","",IF($B357+1&gt;'Qredits maandlasten'!$C$4,"",G358*I358*'Qredits maandlasten'!$C$8))</f>
        <v/>
      </c>
      <c r="L358" s="128" t="str">
        <f t="shared" si="27"/>
        <v/>
      </c>
      <c r="M358" s="128" t="str">
        <f t="shared" si="25"/>
        <v/>
      </c>
      <c r="N358" s="127"/>
      <c r="O358" s="129" t="str">
        <f>IF($B358="","",'Qredits maandlasten'!$C$8)</f>
        <v/>
      </c>
      <c r="P358" s="129" t="str">
        <f>IF($B358="","",'Qredits maandlasten'!$C$8*(POWER(1+'Qredits maandlasten'!$C$8,$B358-1+1)))</f>
        <v/>
      </c>
      <c r="Q358" s="129" t="str">
        <f t="shared" si="28"/>
        <v/>
      </c>
      <c r="R358" s="127"/>
      <c r="S358" s="128" t="str">
        <f t="shared" si="26"/>
        <v/>
      </c>
      <c r="T358" s="128" t="str">
        <f>IF(S358="","",J358/(POWER(1+'Qredits maandlasten'!$C$8,$B358-1+1)))</f>
        <v/>
      </c>
      <c r="U358" s="130" t="str">
        <f t="shared" si="29"/>
        <v/>
      </c>
      <c r="V358" s="128" t="str">
        <f>IF($B358="","",K358/(POWER(1+'Qredits maandlasten'!$C$8,$B358-1+1)))</f>
        <v/>
      </c>
      <c r="W358" s="127"/>
    </row>
    <row r="359" spans="1:23" s="132" customFormat="1" x14ac:dyDescent="0.2">
      <c r="A359" s="123"/>
      <c r="B359" s="124" t="str">
        <f>IF($B358="","",IF($B358+1&gt;'Qredits maandlasten'!$C$4,"",Schema!B358+1))</f>
        <v/>
      </c>
      <c r="C359" s="125" t="str">
        <f>IF($B358="","",IF($B358+1&gt;'Qredits maandlasten'!$C$4,"",EOMONTH(C358,0)+1))</f>
        <v/>
      </c>
      <c r="D359" s="123"/>
      <c r="E359" s="125" t="str">
        <f>IF($B358="","",IF($B358+1&gt;'Qredits maandlasten'!$C$4,"",F358+1))</f>
        <v/>
      </c>
      <c r="F359" s="125" t="str">
        <f>IF($B358="","",IF($B358+1&gt;'Qredits maandlasten'!$C$4,"",EOMONTH(E359,0)))</f>
        <v/>
      </c>
      <c r="G359" s="126" t="str">
        <f>IF($B358="","",IF($B358+1&gt;'Qredits maandlasten'!$C$4,"",(_xlfn.DAYS(F359,E359)+1)/DAY(F359)))</f>
        <v/>
      </c>
      <c r="H359" s="127"/>
      <c r="I359" s="128" t="str">
        <f>IF($B358="","",IF($B358+1&gt;'Qredits maandlasten'!$C$4,"",I358-J358))</f>
        <v/>
      </c>
      <c r="J359" s="128" t="str">
        <f>IF($B358="","",IF($B358+1&gt;'Qredits maandlasten'!$C$4,"",IF(B358&lt;'Qredits maandlasten'!$C$11-1,0,IF('Qredits maandlasten'!$C$10=dropdowns!$A$121,'Qredits maandlasten'!$J$3,IF('Qredits maandlasten'!$C$10=dropdowns!$A$120,IFERROR('Qredits maandlasten'!$J$3-K359,0),0)))))</f>
        <v/>
      </c>
      <c r="K359" s="128" t="str">
        <f>IF($B358="","",IF($B358+1&gt;'Qredits maandlasten'!$C$4,"",G359*I359*'Qredits maandlasten'!$C$8))</f>
        <v/>
      </c>
      <c r="L359" s="128" t="str">
        <f t="shared" si="27"/>
        <v/>
      </c>
      <c r="M359" s="128" t="str">
        <f t="shared" si="25"/>
        <v/>
      </c>
      <c r="N359" s="127"/>
      <c r="O359" s="129" t="str">
        <f>IF($B359="","",'Qredits maandlasten'!$C$8)</f>
        <v/>
      </c>
      <c r="P359" s="129" t="str">
        <f>IF($B359="","",'Qredits maandlasten'!$C$8*(POWER(1+'Qredits maandlasten'!$C$8,$B359-1+1)))</f>
        <v/>
      </c>
      <c r="Q359" s="129" t="str">
        <f t="shared" si="28"/>
        <v/>
      </c>
      <c r="R359" s="127"/>
      <c r="S359" s="128" t="str">
        <f t="shared" si="26"/>
        <v/>
      </c>
      <c r="T359" s="128" t="str">
        <f>IF(S359="","",J359/(POWER(1+'Qredits maandlasten'!$C$8,$B359-1+1)))</f>
        <v/>
      </c>
      <c r="U359" s="130" t="str">
        <f t="shared" si="29"/>
        <v/>
      </c>
      <c r="V359" s="128" t="str">
        <f>IF($B359="","",K359/(POWER(1+'Qredits maandlasten'!$C$8,$B359-1+1)))</f>
        <v/>
      </c>
      <c r="W359" s="127"/>
    </row>
    <row r="360" spans="1:23" s="132" customFormat="1" x14ac:dyDescent="0.2">
      <c r="A360" s="123"/>
      <c r="B360" s="124" t="str">
        <f>IF($B359="","",IF($B359+1&gt;'Qredits maandlasten'!$C$4,"",Schema!B359+1))</f>
        <v/>
      </c>
      <c r="C360" s="125" t="str">
        <f>IF($B359="","",IF($B359+1&gt;'Qredits maandlasten'!$C$4,"",EOMONTH(C359,0)+1))</f>
        <v/>
      </c>
      <c r="D360" s="123"/>
      <c r="E360" s="125" t="str">
        <f>IF($B359="","",IF($B359+1&gt;'Qredits maandlasten'!$C$4,"",F359+1))</f>
        <v/>
      </c>
      <c r="F360" s="125" t="str">
        <f>IF($B359="","",IF($B359+1&gt;'Qredits maandlasten'!$C$4,"",EOMONTH(E360,0)))</f>
        <v/>
      </c>
      <c r="G360" s="126" t="str">
        <f>IF($B359="","",IF($B359+1&gt;'Qredits maandlasten'!$C$4,"",(_xlfn.DAYS(F360,E360)+1)/DAY(F360)))</f>
        <v/>
      </c>
      <c r="H360" s="127"/>
      <c r="I360" s="128" t="str">
        <f>IF($B359="","",IF($B359+1&gt;'Qredits maandlasten'!$C$4,"",I359-J359))</f>
        <v/>
      </c>
      <c r="J360" s="128" t="str">
        <f>IF($B359="","",IF($B359+1&gt;'Qredits maandlasten'!$C$4,"",IF(B359&lt;'Qredits maandlasten'!$C$11-1,0,IF('Qredits maandlasten'!$C$10=dropdowns!$A$121,'Qredits maandlasten'!$J$3,IF('Qredits maandlasten'!$C$10=dropdowns!$A$120,IFERROR('Qredits maandlasten'!$J$3-K360,0),0)))))</f>
        <v/>
      </c>
      <c r="K360" s="128" t="str">
        <f>IF($B359="","",IF($B359+1&gt;'Qredits maandlasten'!$C$4,"",G360*I360*'Qredits maandlasten'!$C$8))</f>
        <v/>
      </c>
      <c r="L360" s="128" t="str">
        <f t="shared" si="27"/>
        <v/>
      </c>
      <c r="M360" s="128" t="str">
        <f t="shared" si="25"/>
        <v/>
      </c>
      <c r="N360" s="127"/>
      <c r="O360" s="129" t="str">
        <f>IF($B360="","",'Qredits maandlasten'!$C$8)</f>
        <v/>
      </c>
      <c r="P360" s="129" t="str">
        <f>IF($B360="","",'Qredits maandlasten'!$C$8*(POWER(1+'Qredits maandlasten'!$C$8,$B360-1+1)))</f>
        <v/>
      </c>
      <c r="Q360" s="129" t="str">
        <f t="shared" si="28"/>
        <v/>
      </c>
      <c r="R360" s="127"/>
      <c r="S360" s="128" t="str">
        <f t="shared" si="26"/>
        <v/>
      </c>
      <c r="T360" s="128" t="str">
        <f>IF(S360="","",J360/(POWER(1+'Qredits maandlasten'!$C$8,$B360-1+1)))</f>
        <v/>
      </c>
      <c r="U360" s="130" t="str">
        <f t="shared" si="29"/>
        <v/>
      </c>
      <c r="V360" s="128" t="str">
        <f>IF($B360="","",K360/(POWER(1+'Qredits maandlasten'!$C$8,$B360-1+1)))</f>
        <v/>
      </c>
      <c r="W360" s="127"/>
    </row>
    <row r="361" spans="1:23" s="132" customFormat="1" x14ac:dyDescent="0.2">
      <c r="A361" s="123"/>
      <c r="B361" s="124" t="str">
        <f>IF($B360="","",IF($B360+1&gt;'Qredits maandlasten'!$C$4,"",Schema!B360+1))</f>
        <v/>
      </c>
      <c r="C361" s="125" t="str">
        <f>IF($B360="","",IF($B360+1&gt;'Qredits maandlasten'!$C$4,"",EOMONTH(C360,0)+1))</f>
        <v/>
      </c>
      <c r="D361" s="123"/>
      <c r="E361" s="125" t="str">
        <f>IF($B360="","",IF($B360+1&gt;'Qredits maandlasten'!$C$4,"",F360+1))</f>
        <v/>
      </c>
      <c r="F361" s="125" t="str">
        <f>IF($B360="","",IF($B360+1&gt;'Qredits maandlasten'!$C$4,"",EOMONTH(E361,0)))</f>
        <v/>
      </c>
      <c r="G361" s="126" t="str">
        <f>IF($B360="","",IF($B360+1&gt;'Qredits maandlasten'!$C$4,"",(_xlfn.DAYS(F361,E361)+1)/DAY(F361)))</f>
        <v/>
      </c>
      <c r="H361" s="127"/>
      <c r="I361" s="128" t="str">
        <f>IF($B360="","",IF($B360+1&gt;'Qredits maandlasten'!$C$4,"",I360-J360))</f>
        <v/>
      </c>
      <c r="J361" s="128" t="str">
        <f>IF($B360="","",IF($B360+1&gt;'Qredits maandlasten'!$C$4,"",IF(B360&lt;'Qredits maandlasten'!$C$11-1,0,IF('Qredits maandlasten'!$C$10=dropdowns!$A$121,'Qredits maandlasten'!$J$3,IF('Qredits maandlasten'!$C$10=dropdowns!$A$120,IFERROR('Qredits maandlasten'!$J$3-K361,0),0)))))</f>
        <v/>
      </c>
      <c r="K361" s="128" t="str">
        <f>IF($B360="","",IF($B360+1&gt;'Qredits maandlasten'!$C$4,"",G361*I361*'Qredits maandlasten'!$C$8))</f>
        <v/>
      </c>
      <c r="L361" s="128" t="str">
        <f t="shared" si="27"/>
        <v/>
      </c>
      <c r="M361" s="128" t="str">
        <f t="shared" si="25"/>
        <v/>
      </c>
      <c r="N361" s="127"/>
      <c r="O361" s="129" t="str">
        <f>IF($B361="","",'Qredits maandlasten'!$C$8)</f>
        <v/>
      </c>
      <c r="P361" s="129" t="str">
        <f>IF($B361="","",'Qredits maandlasten'!$C$8*(POWER(1+'Qredits maandlasten'!$C$8,$B361-1+1)))</f>
        <v/>
      </c>
      <c r="Q361" s="129" t="str">
        <f t="shared" si="28"/>
        <v/>
      </c>
      <c r="R361" s="127"/>
      <c r="S361" s="128" t="str">
        <f t="shared" si="26"/>
        <v/>
      </c>
      <c r="T361" s="128" t="str">
        <f>IF(S361="","",J361/(POWER(1+'Qredits maandlasten'!$C$8,$B361-1+1)))</f>
        <v/>
      </c>
      <c r="U361" s="130" t="str">
        <f t="shared" si="29"/>
        <v/>
      </c>
      <c r="V361" s="128" t="str">
        <f>IF($B361="","",K361/(POWER(1+'Qredits maandlasten'!$C$8,$B361-1+1)))</f>
        <v/>
      </c>
      <c r="W361" s="127"/>
    </row>
    <row r="362" spans="1:23" s="132" customFormat="1" x14ac:dyDescent="0.2">
      <c r="A362" s="123"/>
      <c r="B362" s="124" t="str">
        <f>IF($B361="","",IF($B361+1&gt;'Qredits maandlasten'!$C$4,"",Schema!B361+1))</f>
        <v/>
      </c>
      <c r="C362" s="125" t="str">
        <f>IF($B361="","",IF($B361+1&gt;'Qredits maandlasten'!$C$4,"",EOMONTH(C361,0)+1))</f>
        <v/>
      </c>
      <c r="D362" s="123"/>
      <c r="E362" s="125" t="str">
        <f>IF($B361="","",IF($B361+1&gt;'Qredits maandlasten'!$C$4,"",F361+1))</f>
        <v/>
      </c>
      <c r="F362" s="125" t="str">
        <f>IF($B361="","",IF($B361+1&gt;'Qredits maandlasten'!$C$4,"",EOMONTH(E362,0)))</f>
        <v/>
      </c>
      <c r="G362" s="126" t="str">
        <f>IF($B361="","",IF($B361+1&gt;'Qredits maandlasten'!$C$4,"",(_xlfn.DAYS(F362,E362)+1)/DAY(F362)))</f>
        <v/>
      </c>
      <c r="H362" s="127"/>
      <c r="I362" s="128" t="str">
        <f>IF($B361="","",IF($B361+1&gt;'Qredits maandlasten'!$C$4,"",I361-J361))</f>
        <v/>
      </c>
      <c r="J362" s="128" t="str">
        <f>IF($B361="","",IF($B361+1&gt;'Qredits maandlasten'!$C$4,"",IF(B361&lt;'Qredits maandlasten'!$C$11-1,0,IF('Qredits maandlasten'!$C$10=dropdowns!$A$121,'Qredits maandlasten'!$J$3,IF('Qredits maandlasten'!$C$10=dropdowns!$A$120,IFERROR('Qredits maandlasten'!$J$3-K362,0),0)))))</f>
        <v/>
      </c>
      <c r="K362" s="128" t="str">
        <f>IF($B361="","",IF($B361+1&gt;'Qredits maandlasten'!$C$4,"",G362*I362*'Qredits maandlasten'!$C$8))</f>
        <v/>
      </c>
      <c r="L362" s="128" t="str">
        <f t="shared" si="27"/>
        <v/>
      </c>
      <c r="M362" s="128" t="str">
        <f t="shared" si="25"/>
        <v/>
      </c>
      <c r="N362" s="127"/>
      <c r="O362" s="129" t="str">
        <f>IF($B362="","",'Qredits maandlasten'!$C$8)</f>
        <v/>
      </c>
      <c r="P362" s="129" t="str">
        <f>IF($B362="","",'Qredits maandlasten'!$C$8*(POWER(1+'Qredits maandlasten'!$C$8,$B362-1+1)))</f>
        <v/>
      </c>
      <c r="Q362" s="129" t="str">
        <f t="shared" si="28"/>
        <v/>
      </c>
      <c r="R362" s="127"/>
      <c r="S362" s="128" t="str">
        <f t="shared" si="26"/>
        <v/>
      </c>
      <c r="T362" s="128" t="str">
        <f>IF(S362="","",J362/(POWER(1+'Qredits maandlasten'!$C$8,$B362-1+1)))</f>
        <v/>
      </c>
      <c r="U362" s="130" t="str">
        <f t="shared" si="29"/>
        <v/>
      </c>
      <c r="V362" s="128" t="str">
        <f>IF($B362="","",K362/(POWER(1+'Qredits maandlasten'!$C$8,$B362-1+1)))</f>
        <v/>
      </c>
      <c r="W362" s="127"/>
    </row>
    <row r="363" spans="1:23" s="132" customFormat="1" x14ac:dyDescent="0.2">
      <c r="A363" s="123"/>
      <c r="B363" s="124" t="str">
        <f>IF($B362="","",IF($B362+1&gt;'Qredits maandlasten'!$C$4,"",Schema!B362+1))</f>
        <v/>
      </c>
      <c r="C363" s="125" t="str">
        <f>IF($B362="","",IF($B362+1&gt;'Qredits maandlasten'!$C$4,"",EOMONTH(C362,0)+1))</f>
        <v/>
      </c>
      <c r="D363" s="123"/>
      <c r="E363" s="125" t="str">
        <f>IF($B362="","",IF($B362+1&gt;'Qredits maandlasten'!$C$4,"",F362+1))</f>
        <v/>
      </c>
      <c r="F363" s="125" t="str">
        <f>IF($B362="","",IF($B362+1&gt;'Qredits maandlasten'!$C$4,"",EOMONTH(E363,0)))</f>
        <v/>
      </c>
      <c r="G363" s="126" t="str">
        <f>IF($B362="","",IF($B362+1&gt;'Qredits maandlasten'!$C$4,"",(_xlfn.DAYS(F363,E363)+1)/DAY(F363)))</f>
        <v/>
      </c>
      <c r="H363" s="127"/>
      <c r="I363" s="128" t="str">
        <f>IF($B362="","",IF($B362+1&gt;'Qredits maandlasten'!$C$4,"",I362-J362))</f>
        <v/>
      </c>
      <c r="J363" s="128" t="str">
        <f>IF($B362="","",IF($B362+1&gt;'Qredits maandlasten'!$C$4,"",IF(B362&lt;'Qredits maandlasten'!$C$11-1,0,IF('Qredits maandlasten'!$C$10=dropdowns!$A$121,'Qredits maandlasten'!$J$3,IF('Qredits maandlasten'!$C$10=dropdowns!$A$120,IFERROR('Qredits maandlasten'!$J$3-K363,0),0)))))</f>
        <v/>
      </c>
      <c r="K363" s="128" t="str">
        <f>IF($B362="","",IF($B362+1&gt;'Qredits maandlasten'!$C$4,"",G363*I363*'Qredits maandlasten'!$C$8))</f>
        <v/>
      </c>
      <c r="L363" s="128" t="str">
        <f t="shared" si="27"/>
        <v/>
      </c>
      <c r="M363" s="128" t="str">
        <f t="shared" si="25"/>
        <v/>
      </c>
      <c r="N363" s="127"/>
      <c r="O363" s="129" t="str">
        <f>IF($B363="","",'Qredits maandlasten'!$C$8)</f>
        <v/>
      </c>
      <c r="P363" s="129" t="str">
        <f>IF($B363="","",'Qredits maandlasten'!$C$8*(POWER(1+'Qredits maandlasten'!$C$8,$B363-1+1)))</f>
        <v/>
      </c>
      <c r="Q363" s="129" t="str">
        <f t="shared" si="28"/>
        <v/>
      </c>
      <c r="R363" s="127"/>
      <c r="S363" s="128" t="str">
        <f t="shared" si="26"/>
        <v/>
      </c>
      <c r="T363" s="128" t="str">
        <f>IF(S363="","",J363/(POWER(1+'Qredits maandlasten'!$C$8,$B363-1+1)))</f>
        <v/>
      </c>
      <c r="U363" s="130" t="str">
        <f t="shared" si="29"/>
        <v/>
      </c>
      <c r="V363" s="128" t="str">
        <f>IF($B363="","",K363/(POWER(1+'Qredits maandlasten'!$C$8,$B363-1+1)))</f>
        <v/>
      </c>
      <c r="W363" s="127"/>
    </row>
    <row r="364" spans="1:23" s="132" customFormat="1" x14ac:dyDescent="0.2">
      <c r="A364" s="123"/>
      <c r="B364" s="124" t="str">
        <f>IF($B363="","",IF($B363+1&gt;'Qredits maandlasten'!$C$4,"",Schema!B363+1))</f>
        <v/>
      </c>
      <c r="C364" s="125" t="str">
        <f>IF($B363="","",IF($B363+1&gt;'Qredits maandlasten'!$C$4,"",EOMONTH(C363,0)+1))</f>
        <v/>
      </c>
      <c r="D364" s="123"/>
      <c r="E364" s="125" t="str">
        <f>IF($B363="","",IF($B363+1&gt;'Qredits maandlasten'!$C$4,"",F363+1))</f>
        <v/>
      </c>
      <c r="F364" s="125" t="str">
        <f>IF($B363="","",IF($B363+1&gt;'Qredits maandlasten'!$C$4,"",EOMONTH(E364,0)))</f>
        <v/>
      </c>
      <c r="G364" s="126" t="str">
        <f>IF($B363="","",IF($B363+1&gt;'Qredits maandlasten'!$C$4,"",(_xlfn.DAYS(F364,E364)+1)/DAY(F364)))</f>
        <v/>
      </c>
      <c r="H364" s="127"/>
      <c r="I364" s="128" t="str">
        <f>IF($B363="","",IF($B363+1&gt;'Qredits maandlasten'!$C$4,"",I363-J363))</f>
        <v/>
      </c>
      <c r="J364" s="128" t="str">
        <f>IF($B363="","",IF($B363+1&gt;'Qredits maandlasten'!$C$4,"",IF(B363&lt;'Qredits maandlasten'!$C$11-1,0,IF('Qredits maandlasten'!$C$10=dropdowns!$A$121,'Qredits maandlasten'!$J$3,IF('Qredits maandlasten'!$C$10=dropdowns!$A$120,IFERROR('Qredits maandlasten'!$J$3-K364,0),0)))))</f>
        <v/>
      </c>
      <c r="K364" s="128" t="str">
        <f>IF($B363="","",IF($B363+1&gt;'Qredits maandlasten'!$C$4,"",G364*I364*'Qredits maandlasten'!$C$8))</f>
        <v/>
      </c>
      <c r="L364" s="128" t="str">
        <f t="shared" si="27"/>
        <v/>
      </c>
      <c r="M364" s="128" t="str">
        <f t="shared" si="25"/>
        <v/>
      </c>
      <c r="N364" s="127"/>
      <c r="O364" s="129" t="str">
        <f>IF($B364="","",'Qredits maandlasten'!$C$8)</f>
        <v/>
      </c>
      <c r="P364" s="129" t="str">
        <f>IF($B364="","",'Qredits maandlasten'!$C$8*(POWER(1+'Qredits maandlasten'!$C$8,$B364-1+1)))</f>
        <v/>
      </c>
      <c r="Q364" s="129" t="str">
        <f t="shared" si="28"/>
        <v/>
      </c>
      <c r="R364" s="127"/>
      <c r="S364" s="128" t="str">
        <f t="shared" si="26"/>
        <v/>
      </c>
      <c r="T364" s="128" t="str">
        <f>IF(S364="","",J364/(POWER(1+'Qredits maandlasten'!$C$8,$B364-1+1)))</f>
        <v/>
      </c>
      <c r="U364" s="130" t="str">
        <f t="shared" si="29"/>
        <v/>
      </c>
      <c r="V364" s="128" t="str">
        <f>IF($B364="","",K364/(POWER(1+'Qredits maandlasten'!$C$8,$B364-1+1)))</f>
        <v/>
      </c>
      <c r="W364" s="127"/>
    </row>
    <row r="365" spans="1:23" s="132" customFormat="1" x14ac:dyDescent="0.2">
      <c r="A365" s="123"/>
      <c r="B365" s="124" t="str">
        <f>IF($B364="","",IF($B364+1&gt;'Qredits maandlasten'!$C$4,"",Schema!B364+1))</f>
        <v/>
      </c>
      <c r="C365" s="125" t="str">
        <f>IF($B364="","",IF($B364+1&gt;'Qredits maandlasten'!$C$4,"",EOMONTH(C364,0)+1))</f>
        <v/>
      </c>
      <c r="D365" s="123"/>
      <c r="E365" s="125" t="str">
        <f>IF($B364="","",IF($B364+1&gt;'Qredits maandlasten'!$C$4,"",F364+1))</f>
        <v/>
      </c>
      <c r="F365" s="125" t="str">
        <f>IF($B364="","",IF($B364+1&gt;'Qredits maandlasten'!$C$4,"",EOMONTH(E365,0)))</f>
        <v/>
      </c>
      <c r="G365" s="126" t="str">
        <f>IF($B364="","",IF($B364+1&gt;'Qredits maandlasten'!$C$4,"",(_xlfn.DAYS(F365,E365)+1)/DAY(F365)))</f>
        <v/>
      </c>
      <c r="H365" s="127"/>
      <c r="I365" s="128" t="str">
        <f>IF($B364="","",IF($B364+1&gt;'Qredits maandlasten'!$C$4,"",I364-J364))</f>
        <v/>
      </c>
      <c r="J365" s="128" t="str">
        <f>IF($B364="","",IF($B364+1&gt;'Qredits maandlasten'!$C$4,"",IF(B364&lt;'Qredits maandlasten'!$C$11-1,0,IF('Qredits maandlasten'!$C$10=dropdowns!$A$121,'Qredits maandlasten'!$J$3,IF('Qredits maandlasten'!$C$10=dropdowns!$A$120,IFERROR('Qredits maandlasten'!$J$3-K365,0),0)))))</f>
        <v/>
      </c>
      <c r="K365" s="128" t="str">
        <f>IF($B364="","",IF($B364+1&gt;'Qredits maandlasten'!$C$4,"",G365*I365*'Qredits maandlasten'!$C$8))</f>
        <v/>
      </c>
      <c r="L365" s="128" t="str">
        <f t="shared" si="27"/>
        <v/>
      </c>
      <c r="M365" s="128" t="str">
        <f t="shared" si="25"/>
        <v/>
      </c>
      <c r="N365" s="127"/>
      <c r="O365" s="129" t="str">
        <f>IF($B365="","",'Qredits maandlasten'!$C$8)</f>
        <v/>
      </c>
      <c r="P365" s="129" t="str">
        <f>IF($B365="","",'Qredits maandlasten'!$C$8*(POWER(1+'Qredits maandlasten'!$C$8,$B365-1+1)))</f>
        <v/>
      </c>
      <c r="Q365" s="129" t="str">
        <f t="shared" si="28"/>
        <v/>
      </c>
      <c r="R365" s="127"/>
      <c r="S365" s="128" t="str">
        <f t="shared" si="26"/>
        <v/>
      </c>
      <c r="T365" s="128" t="str">
        <f>IF(S365="","",J365/(POWER(1+'Qredits maandlasten'!$C$8,$B365-1+1)))</f>
        <v/>
      </c>
      <c r="U365" s="130" t="str">
        <f t="shared" si="29"/>
        <v/>
      </c>
      <c r="V365" s="128" t="str">
        <f>IF($B365="","",K365/(POWER(1+'Qredits maandlasten'!$C$8,$B365-1+1)))</f>
        <v/>
      </c>
      <c r="W365" s="127"/>
    </row>
    <row r="366" spans="1:23" s="132" customFormat="1" x14ac:dyDescent="0.2">
      <c r="A366" s="123"/>
      <c r="B366" s="124" t="str">
        <f>IF($B365="","",IF($B365+1&gt;'Qredits maandlasten'!$C$4,"",Schema!B365+1))</f>
        <v/>
      </c>
      <c r="C366" s="125" t="str">
        <f>IF($B365="","",IF($B365+1&gt;'Qredits maandlasten'!$C$4,"",EOMONTH(C365,0)+1))</f>
        <v/>
      </c>
      <c r="D366" s="123"/>
      <c r="E366" s="125" t="str">
        <f>IF($B365="","",IF($B365+1&gt;'Qredits maandlasten'!$C$4,"",F365+1))</f>
        <v/>
      </c>
      <c r="F366" s="125" t="str">
        <f>IF($B365="","",IF($B365+1&gt;'Qredits maandlasten'!$C$4,"",EOMONTH(E366,0)))</f>
        <v/>
      </c>
      <c r="G366" s="126" t="str">
        <f>IF($B365="","",IF($B365+1&gt;'Qredits maandlasten'!$C$4,"",(_xlfn.DAYS(F366,E366)+1)/DAY(F366)))</f>
        <v/>
      </c>
      <c r="H366" s="127"/>
      <c r="I366" s="128" t="str">
        <f>IF($B365="","",IF($B365+1&gt;'Qredits maandlasten'!$C$4,"",I365-J365))</f>
        <v/>
      </c>
      <c r="J366" s="128" t="str">
        <f>IF($B365="","",IF($B365+1&gt;'Qredits maandlasten'!$C$4,"",IF(B365&lt;'Qredits maandlasten'!$C$11-1,0,IF('Qredits maandlasten'!$C$10=dropdowns!$A$121,'Qredits maandlasten'!$J$3,IF('Qredits maandlasten'!$C$10=dropdowns!$A$120,IFERROR('Qredits maandlasten'!$J$3-K366,0),0)))))</f>
        <v/>
      </c>
      <c r="K366" s="128" t="str">
        <f>IF($B365="","",IF($B365+1&gt;'Qredits maandlasten'!$C$4,"",G366*I366*'Qredits maandlasten'!$C$8))</f>
        <v/>
      </c>
      <c r="L366" s="128" t="str">
        <f t="shared" si="27"/>
        <v/>
      </c>
      <c r="M366" s="128" t="str">
        <f t="shared" si="25"/>
        <v/>
      </c>
      <c r="N366" s="127"/>
      <c r="O366" s="129" t="str">
        <f>IF($B366="","",'Qredits maandlasten'!$C$8)</f>
        <v/>
      </c>
      <c r="P366" s="129" t="str">
        <f>IF($B366="","",'Qredits maandlasten'!$C$8*(POWER(1+'Qredits maandlasten'!$C$8,$B366-1+1)))</f>
        <v/>
      </c>
      <c r="Q366" s="129" t="str">
        <f t="shared" si="28"/>
        <v/>
      </c>
      <c r="R366" s="127"/>
      <c r="S366" s="128" t="str">
        <f t="shared" si="26"/>
        <v/>
      </c>
      <c r="T366" s="128" t="str">
        <f>IF(S366="","",J366/(POWER(1+'Qredits maandlasten'!$C$8,$B366-1+1)))</f>
        <v/>
      </c>
      <c r="U366" s="130" t="str">
        <f t="shared" si="29"/>
        <v/>
      </c>
      <c r="V366" s="128" t="str">
        <f>IF($B366="","",K366/(POWER(1+'Qredits maandlasten'!$C$8,$B366-1+1)))</f>
        <v/>
      </c>
      <c r="W366" s="127"/>
    </row>
    <row r="367" spans="1:23" s="132" customFormat="1" x14ac:dyDescent="0.2">
      <c r="A367" s="123"/>
      <c r="B367" s="124" t="str">
        <f>IF($B366="","",IF($B366+1&gt;'Qredits maandlasten'!$C$4,"",Schema!B366+1))</f>
        <v/>
      </c>
      <c r="C367" s="125" t="str">
        <f>IF($B366="","",IF($B366+1&gt;'Qredits maandlasten'!$C$4,"",EOMONTH(C366,0)+1))</f>
        <v/>
      </c>
      <c r="D367" s="123"/>
      <c r="E367" s="125" t="str">
        <f>IF($B366="","",IF($B366+1&gt;'Qredits maandlasten'!$C$4,"",F366+1))</f>
        <v/>
      </c>
      <c r="F367" s="125" t="str">
        <f>IF($B366="","",IF($B366+1&gt;'Qredits maandlasten'!$C$4,"",EOMONTH(E367,0)))</f>
        <v/>
      </c>
      <c r="G367" s="126" t="str">
        <f>IF($B366="","",IF($B366+1&gt;'Qredits maandlasten'!$C$4,"",(_xlfn.DAYS(F367,E367)+1)/DAY(F367)))</f>
        <v/>
      </c>
      <c r="H367" s="127"/>
      <c r="I367" s="128" t="str">
        <f>IF($B366="","",IF($B366+1&gt;'Qredits maandlasten'!$C$4,"",I366-J366))</f>
        <v/>
      </c>
      <c r="J367" s="128" t="str">
        <f>IF($B366="","",IF($B366+1&gt;'Qredits maandlasten'!$C$4,"",IF(B366&lt;'Qredits maandlasten'!$C$11-1,0,IF('Qredits maandlasten'!$C$10=dropdowns!$A$121,'Qredits maandlasten'!$J$3,IF('Qredits maandlasten'!$C$10=dropdowns!$A$120,IFERROR('Qredits maandlasten'!$J$3-K367,0),0)))))</f>
        <v/>
      </c>
      <c r="K367" s="128" t="str">
        <f>IF($B366="","",IF($B366+1&gt;'Qredits maandlasten'!$C$4,"",G367*I367*'Qredits maandlasten'!$C$8))</f>
        <v/>
      </c>
      <c r="L367" s="128" t="str">
        <f t="shared" si="27"/>
        <v/>
      </c>
      <c r="M367" s="128" t="str">
        <f t="shared" si="25"/>
        <v/>
      </c>
      <c r="N367" s="127"/>
      <c r="O367" s="129" t="str">
        <f>IF($B367="","",'Qredits maandlasten'!$C$8)</f>
        <v/>
      </c>
      <c r="P367" s="129" t="str">
        <f>IF($B367="","",'Qredits maandlasten'!$C$8*(POWER(1+'Qredits maandlasten'!$C$8,$B367-1+1)))</f>
        <v/>
      </c>
      <c r="Q367" s="129" t="str">
        <f t="shared" si="28"/>
        <v/>
      </c>
      <c r="R367" s="127"/>
      <c r="S367" s="128" t="str">
        <f t="shared" si="26"/>
        <v/>
      </c>
      <c r="T367" s="128" t="str">
        <f>IF(S367="","",J367/(POWER(1+'Qredits maandlasten'!$C$8,$B367-1+1)))</f>
        <v/>
      </c>
      <c r="U367" s="130" t="str">
        <f t="shared" si="29"/>
        <v/>
      </c>
      <c r="V367" s="128" t="str">
        <f>IF($B367="","",K367/(POWER(1+'Qredits maandlasten'!$C$8,$B367-1+1)))</f>
        <v/>
      </c>
      <c r="W367" s="127"/>
    </row>
    <row r="368" spans="1:23" s="132" customFormat="1" x14ac:dyDescent="0.2">
      <c r="A368" s="123"/>
      <c r="B368" s="124" t="str">
        <f>IF($B367="","",IF($B367+1&gt;'Qredits maandlasten'!$C$4,"",Schema!B367+1))</f>
        <v/>
      </c>
      <c r="C368" s="125" t="str">
        <f>IF($B367="","",IF($B367+1&gt;'Qredits maandlasten'!$C$4,"",EOMONTH(C367,0)+1))</f>
        <v/>
      </c>
      <c r="D368" s="123"/>
      <c r="E368" s="125" t="str">
        <f>IF($B367="","",IF($B367+1&gt;'Qredits maandlasten'!$C$4,"",F367+1))</f>
        <v/>
      </c>
      <c r="F368" s="125" t="str">
        <f>IF($B367="","",IF($B367+1&gt;'Qredits maandlasten'!$C$4,"",EOMONTH(E368,0)))</f>
        <v/>
      </c>
      <c r="G368" s="126" t="str">
        <f>IF($B367="","",IF($B367+1&gt;'Qredits maandlasten'!$C$4,"",(_xlfn.DAYS(F368,E368)+1)/DAY(F368)))</f>
        <v/>
      </c>
      <c r="H368" s="127"/>
      <c r="I368" s="128" t="str">
        <f>IF($B367="","",IF($B367+1&gt;'Qredits maandlasten'!$C$4,"",I367-J367))</f>
        <v/>
      </c>
      <c r="J368" s="128" t="str">
        <f>IF($B367="","",IF($B367+1&gt;'Qredits maandlasten'!$C$4,"",IF(B367&lt;'Qredits maandlasten'!$C$11-1,0,IF('Qredits maandlasten'!$C$10=dropdowns!$A$121,'Qredits maandlasten'!$J$3,IF('Qredits maandlasten'!$C$10=dropdowns!$A$120,IFERROR('Qredits maandlasten'!$J$3-K368,0),0)))))</f>
        <v/>
      </c>
      <c r="K368" s="128" t="str">
        <f>IF($B367="","",IF($B367+1&gt;'Qredits maandlasten'!$C$4,"",G368*I368*'Qredits maandlasten'!$C$8))</f>
        <v/>
      </c>
      <c r="L368" s="128" t="str">
        <f t="shared" si="27"/>
        <v/>
      </c>
      <c r="M368" s="128" t="str">
        <f t="shared" si="25"/>
        <v/>
      </c>
      <c r="N368" s="127"/>
      <c r="O368" s="129" t="str">
        <f>IF($B368="","",'Qredits maandlasten'!$C$8)</f>
        <v/>
      </c>
      <c r="P368" s="129" t="str">
        <f>IF($B368="","",'Qredits maandlasten'!$C$8*(POWER(1+'Qredits maandlasten'!$C$8,$B368-1+1)))</f>
        <v/>
      </c>
      <c r="Q368" s="129" t="str">
        <f t="shared" si="28"/>
        <v/>
      </c>
      <c r="R368" s="127"/>
      <c r="S368" s="128" t="str">
        <f t="shared" si="26"/>
        <v/>
      </c>
      <c r="T368" s="128" t="str">
        <f>IF(S368="","",J368/(POWER(1+'Qredits maandlasten'!$C$8,$B368-1+1)))</f>
        <v/>
      </c>
      <c r="U368" s="130" t="str">
        <f t="shared" si="29"/>
        <v/>
      </c>
      <c r="V368" s="128" t="str">
        <f>IF($B368="","",K368/(POWER(1+'Qredits maandlasten'!$C$8,$B368-1+1)))</f>
        <v/>
      </c>
      <c r="W368" s="127"/>
    </row>
    <row r="369" spans="1:23" s="132" customFormat="1" x14ac:dyDescent="0.2">
      <c r="A369" s="123"/>
      <c r="B369" s="124" t="str">
        <f>IF($B368="","",IF($B368+1&gt;'Qredits maandlasten'!$C$4,"",Schema!B368+1))</f>
        <v/>
      </c>
      <c r="C369" s="125" t="str">
        <f>IF($B368="","",IF($B368+1&gt;'Qredits maandlasten'!$C$4,"",EOMONTH(C368,0)+1))</f>
        <v/>
      </c>
      <c r="D369" s="123"/>
      <c r="E369" s="125" t="str">
        <f>IF($B368="","",IF($B368+1&gt;'Qredits maandlasten'!$C$4,"",F368+1))</f>
        <v/>
      </c>
      <c r="F369" s="125" t="str">
        <f>IF($B368="","",IF($B368+1&gt;'Qredits maandlasten'!$C$4,"",EOMONTH(E369,0)))</f>
        <v/>
      </c>
      <c r="G369" s="126" t="str">
        <f>IF($B368="","",IF($B368+1&gt;'Qredits maandlasten'!$C$4,"",(_xlfn.DAYS(F369,E369)+1)/DAY(F369)))</f>
        <v/>
      </c>
      <c r="H369" s="127"/>
      <c r="I369" s="128" t="str">
        <f>IF($B368="","",IF($B368+1&gt;'Qredits maandlasten'!$C$4,"",I368-J368))</f>
        <v/>
      </c>
      <c r="J369" s="128" t="str">
        <f>IF($B368="","",IF($B368+1&gt;'Qredits maandlasten'!$C$4,"",IF(B368&lt;'Qredits maandlasten'!$C$11-1,0,IF('Qredits maandlasten'!$C$10=dropdowns!$A$121,'Qredits maandlasten'!$J$3,IF('Qredits maandlasten'!$C$10=dropdowns!$A$120,IFERROR('Qredits maandlasten'!$J$3-K369,0),0)))))</f>
        <v/>
      </c>
      <c r="K369" s="128" t="str">
        <f>IF($B368="","",IF($B368+1&gt;'Qredits maandlasten'!$C$4,"",G369*I369*'Qredits maandlasten'!$C$8))</f>
        <v/>
      </c>
      <c r="L369" s="128" t="str">
        <f t="shared" si="27"/>
        <v/>
      </c>
      <c r="M369" s="128" t="str">
        <f t="shared" si="25"/>
        <v/>
      </c>
      <c r="N369" s="127"/>
      <c r="O369" s="129" t="str">
        <f>IF($B369="","",'Qredits maandlasten'!$C$8)</f>
        <v/>
      </c>
      <c r="P369" s="129" t="str">
        <f>IF($B369="","",'Qredits maandlasten'!$C$8*(POWER(1+'Qredits maandlasten'!$C$8,$B369-1+1)))</f>
        <v/>
      </c>
      <c r="Q369" s="129" t="str">
        <f t="shared" si="28"/>
        <v/>
      </c>
      <c r="R369" s="127"/>
      <c r="S369" s="128" t="str">
        <f t="shared" si="26"/>
        <v/>
      </c>
      <c r="T369" s="128" t="str">
        <f>IF(S369="","",J369/(POWER(1+'Qredits maandlasten'!$C$8,$B369-1+1)))</f>
        <v/>
      </c>
      <c r="U369" s="130" t="str">
        <f t="shared" si="29"/>
        <v/>
      </c>
      <c r="V369" s="128" t="str">
        <f>IF($B369="","",K369/(POWER(1+'Qredits maandlasten'!$C$8,$B369-1+1)))</f>
        <v/>
      </c>
      <c r="W369" s="127"/>
    </row>
  </sheetData>
  <sheetProtection algorithmName="SHA-512" hashValue="GZuCL37THX5Doiqs2sLXq6PZnqf9M+y20nIiglYGjz9fPCADUY+BQhlhMu56P4ktvOPtz8gOziAN+9gFGgUvZQ==" saltValue="CJ3b0mLeJlvAN0RLQUVlvA==" spinCount="100000" sheet="1" objects="1" scenarios="1"/>
  <mergeCells count="7">
    <mergeCell ref="A1:W2"/>
    <mergeCell ref="A3:W4"/>
    <mergeCell ref="B6:C6"/>
    <mergeCell ref="E6:G6"/>
    <mergeCell ref="I6:M6"/>
    <mergeCell ref="O6:Q6"/>
    <mergeCell ref="S6:V6"/>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d8"/>
  <dimension ref="A1:U122"/>
  <sheetViews>
    <sheetView workbookViewId="0">
      <selection activeCell="A14" sqref="A14"/>
    </sheetView>
  </sheetViews>
  <sheetFormatPr defaultRowHeight="12.75" x14ac:dyDescent="0.2"/>
  <cols>
    <col min="1" max="1" width="19" style="110" bestFit="1" customWidth="1"/>
    <col min="2" max="2" width="20.7109375" style="110" bestFit="1" customWidth="1"/>
    <col min="3" max="3" width="22.140625" style="110" bestFit="1" customWidth="1"/>
    <col min="4" max="4" width="23.85546875" style="110" bestFit="1" customWidth="1"/>
    <col min="5" max="5" width="23" style="110" bestFit="1" customWidth="1"/>
    <col min="6" max="6" width="15.42578125" style="110" customWidth="1"/>
    <col min="7" max="21" width="9.140625" style="110"/>
    <col min="22" max="22" width="19" style="110" customWidth="1"/>
    <col min="23" max="23" width="9.140625" style="110"/>
    <col min="24" max="24" width="20.85546875" style="110" customWidth="1"/>
    <col min="25" max="25" width="9.140625" style="110"/>
    <col min="26" max="26" width="18.85546875" style="110" customWidth="1"/>
    <col min="27" max="27" width="9.140625" style="110"/>
    <col min="28" max="28" width="17.85546875" style="110" customWidth="1"/>
    <col min="29" max="29" width="10.5703125" style="110" bestFit="1" customWidth="1"/>
    <col min="30" max="30" width="16.42578125" style="110" bestFit="1" customWidth="1"/>
    <col min="31" max="16384" width="9.140625" style="110"/>
  </cols>
  <sheetData>
    <row r="1" spans="1:21" ht="26.25" x14ac:dyDescent="0.2">
      <c r="A1" s="55" t="s">
        <v>990</v>
      </c>
      <c r="B1" s="55" t="s">
        <v>1</v>
      </c>
      <c r="C1" s="55" t="s">
        <v>58</v>
      </c>
      <c r="D1" s="55" t="s">
        <v>59</v>
      </c>
      <c r="E1" s="55" t="s">
        <v>60</v>
      </c>
    </row>
    <row r="2" spans="1:21" x14ac:dyDescent="0.2">
      <c r="B2" s="147"/>
      <c r="C2" s="147"/>
      <c r="D2" s="147"/>
      <c r="E2" s="147"/>
    </row>
    <row r="3" spans="1:21" ht="15" x14ac:dyDescent="0.25">
      <c r="A3" s="146" t="s">
        <v>963</v>
      </c>
    </row>
    <row r="4" spans="1:21" x14ac:dyDescent="0.2">
      <c r="A4" s="148" t="str">
        <f>HLOOKUP(Intro!$B$7,$B:$E,ROW(A4),FALSE)</f>
        <v>Eenmanszaak</v>
      </c>
      <c r="B4" s="148" t="s">
        <v>28</v>
      </c>
      <c r="C4" s="148" t="s">
        <v>28</v>
      </c>
      <c r="D4" s="148" t="s">
        <v>28</v>
      </c>
      <c r="E4" s="148" t="s">
        <v>28</v>
      </c>
      <c r="F4" s="148">
        <f>IF(VRAGENLIJST!H21="",0,IFERROR(_xlfn.XLOOKUP(VRAGENLIJST!H21,$B$14:$B$21,dropdowns!F14:F21),_xlfn.XLOOKUP(VRAGENLIJST!H21,$C$14:$C$21,dropdowns!F14:F21)))</f>
        <v>0</v>
      </c>
      <c r="G4" s="148"/>
      <c r="H4" s="148"/>
      <c r="I4" s="148"/>
      <c r="J4" s="148"/>
      <c r="K4" s="148"/>
    </row>
    <row r="5" spans="1:21" x14ac:dyDescent="0.2">
      <c r="A5" s="148" t="str">
        <f>HLOOKUP(Intro!$B$7,$B:$E,ROW(A5),FALSE)</f>
        <v>V.O.F.</v>
      </c>
      <c r="B5" s="148" t="s">
        <v>964</v>
      </c>
      <c r="C5" s="148" t="s">
        <v>964</v>
      </c>
      <c r="D5" s="148" t="s">
        <v>964</v>
      </c>
      <c r="E5" s="148" t="s">
        <v>964</v>
      </c>
      <c r="F5" s="148"/>
      <c r="G5" s="148"/>
      <c r="H5" s="148"/>
      <c r="I5" s="148"/>
      <c r="J5" s="148"/>
      <c r="K5" s="148"/>
    </row>
    <row r="6" spans="1:21" x14ac:dyDescent="0.2">
      <c r="A6" s="148" t="str">
        <f>HLOOKUP(Intro!$B$7,$B:$E,ROW(A6),FALSE)</f>
        <v>B.V.</v>
      </c>
      <c r="B6" s="148" t="s">
        <v>965</v>
      </c>
      <c r="C6" s="148" t="s">
        <v>965</v>
      </c>
      <c r="D6" s="148" t="s">
        <v>965</v>
      </c>
      <c r="E6" s="148" t="s">
        <v>965</v>
      </c>
      <c r="F6" s="148"/>
      <c r="G6" s="148"/>
      <c r="H6" s="148"/>
      <c r="I6" s="148"/>
      <c r="J6" s="148"/>
      <c r="K6" s="148"/>
    </row>
    <row r="8" spans="1:21" ht="15" x14ac:dyDescent="0.25">
      <c r="A8" s="146" t="s">
        <v>966</v>
      </c>
      <c r="Q8" s="149"/>
      <c r="R8" s="149"/>
      <c r="S8" s="149"/>
      <c r="T8" s="149"/>
      <c r="U8" s="149"/>
    </row>
    <row r="9" spans="1:21" x14ac:dyDescent="0.2">
      <c r="A9" s="148" t="str">
        <f>HLOOKUP(Intro!$B$7,$B:$E,ROW(A9),FALSE)</f>
        <v>Eén</v>
      </c>
      <c r="B9" s="148" t="s">
        <v>29</v>
      </c>
      <c r="C9" s="148" t="s">
        <v>967</v>
      </c>
    </row>
    <row r="10" spans="1:21" x14ac:dyDescent="0.2">
      <c r="A10" s="148" t="str">
        <f>HLOOKUP(Intro!$B$7,$B:$E,ROW(A10),FALSE)</f>
        <v>Twee</v>
      </c>
      <c r="B10" s="148" t="s">
        <v>968</v>
      </c>
      <c r="C10" s="148" t="s">
        <v>969</v>
      </c>
    </row>
    <row r="11" spans="1:21" x14ac:dyDescent="0.2">
      <c r="A11" s="148" t="str">
        <f>HLOOKUP(Intro!$B$7,$B:$E,ROW(A11),FALSE)</f>
        <v>Meer</v>
      </c>
      <c r="B11" s="148" t="s">
        <v>970</v>
      </c>
      <c r="C11" s="148" t="s">
        <v>971</v>
      </c>
    </row>
    <row r="12" spans="1:21" x14ac:dyDescent="0.2">
      <c r="A12" s="148"/>
      <c r="B12" s="148"/>
      <c r="C12" s="148"/>
    </row>
    <row r="13" spans="1:21" ht="15" x14ac:dyDescent="0.25">
      <c r="A13" s="146" t="s">
        <v>904</v>
      </c>
    </row>
    <row r="14" spans="1:21" x14ac:dyDescent="0.2">
      <c r="A14" s="148" t="str">
        <f>HLOOKUP(Intro!$B$7,$B:$E,ROW(A14),FALSE)</f>
        <v>loopt gewoon door</v>
      </c>
      <c r="B14" s="110" t="s">
        <v>905</v>
      </c>
      <c r="C14" s="110" t="s">
        <v>915</v>
      </c>
      <c r="D14" s="110" t="s">
        <v>916</v>
      </c>
      <c r="E14" s="110" t="s">
        <v>917</v>
      </c>
      <c r="F14" s="148">
        <v>13</v>
      </c>
    </row>
    <row r="15" spans="1:21" x14ac:dyDescent="0.2">
      <c r="A15" s="148" t="str">
        <f>HLOOKUP(Intro!$B$7,$B:$E,ROW(A15),FALSE)</f>
        <v>gestopt</v>
      </c>
      <c r="B15" s="110" t="s">
        <v>906</v>
      </c>
      <c r="C15" s="110" t="s">
        <v>918</v>
      </c>
      <c r="D15" s="110" t="s">
        <v>919</v>
      </c>
      <c r="E15" s="110" t="s">
        <v>920</v>
      </c>
      <c r="F15" s="148">
        <v>0</v>
      </c>
    </row>
    <row r="16" spans="1:21" x14ac:dyDescent="0.2">
      <c r="A16" s="148" t="str">
        <f>HLOOKUP(Intro!$B$7,$B:$E,ROW(A16),FALSE)</f>
        <v>tot maand 1</v>
      </c>
      <c r="B16" s="110" t="s">
        <v>921</v>
      </c>
      <c r="C16" s="110" t="s">
        <v>922</v>
      </c>
      <c r="D16" s="110" t="s">
        <v>923</v>
      </c>
      <c r="E16" s="110" t="s">
        <v>924</v>
      </c>
      <c r="F16" s="148">
        <v>1</v>
      </c>
    </row>
    <row r="17" spans="1:6" x14ac:dyDescent="0.2">
      <c r="A17" s="148" t="str">
        <f>HLOOKUP(Intro!$B$7,$B:$E,ROW(A17),FALSE)</f>
        <v>tot maand 2</v>
      </c>
      <c r="B17" s="110" t="s">
        <v>925</v>
      </c>
      <c r="C17" s="110" t="s">
        <v>926</v>
      </c>
      <c r="D17" s="110" t="s">
        <v>927</v>
      </c>
      <c r="E17" s="110" t="s">
        <v>928</v>
      </c>
      <c r="F17" s="148">
        <v>2</v>
      </c>
    </row>
    <row r="18" spans="1:6" x14ac:dyDescent="0.2">
      <c r="A18" s="148" t="str">
        <f>HLOOKUP(Intro!$B$7,$B:$E,ROW(A18),FALSE)</f>
        <v>tot maand 3</v>
      </c>
      <c r="B18" s="110" t="s">
        <v>929</v>
      </c>
      <c r="C18" s="110" t="s">
        <v>930</v>
      </c>
      <c r="D18" s="110" t="s">
        <v>931</v>
      </c>
      <c r="E18" s="110" t="s">
        <v>932</v>
      </c>
      <c r="F18" s="148">
        <v>3</v>
      </c>
    </row>
    <row r="19" spans="1:6" x14ac:dyDescent="0.2">
      <c r="A19" s="148" t="str">
        <f>HLOOKUP(Intro!$B$7,$B:$E,ROW(A19),FALSE)</f>
        <v>tot maand 4</v>
      </c>
      <c r="B19" s="110" t="s">
        <v>933</v>
      </c>
      <c r="C19" s="110" t="s">
        <v>934</v>
      </c>
      <c r="D19" s="110" t="s">
        <v>935</v>
      </c>
      <c r="E19" s="110" t="s">
        <v>936</v>
      </c>
      <c r="F19" s="148">
        <v>4</v>
      </c>
    </row>
    <row r="20" spans="1:6" x14ac:dyDescent="0.2">
      <c r="A20" s="148" t="str">
        <f>HLOOKUP(Intro!$B$7,$B:$E,ROW(A20),FALSE)</f>
        <v>tot maand 5</v>
      </c>
      <c r="B20" s="110" t="s">
        <v>937</v>
      </c>
      <c r="C20" s="110" t="s">
        <v>938</v>
      </c>
      <c r="D20" s="110" t="s">
        <v>939</v>
      </c>
      <c r="E20" s="110" t="s">
        <v>940</v>
      </c>
      <c r="F20" s="148">
        <v>5</v>
      </c>
    </row>
    <row r="21" spans="1:6" x14ac:dyDescent="0.2">
      <c r="A21" s="148" t="str">
        <f>HLOOKUP(Intro!$B$7,$B:$E,ROW(A21),FALSE)</f>
        <v>tot maand 6</v>
      </c>
      <c r="B21" s="110" t="s">
        <v>941</v>
      </c>
      <c r="C21" s="110" t="s">
        <v>942</v>
      </c>
      <c r="D21" s="110" t="s">
        <v>943</v>
      </c>
      <c r="E21" s="110" t="s">
        <v>944</v>
      </c>
      <c r="F21" s="148">
        <v>6</v>
      </c>
    </row>
    <row r="22" spans="1:6" x14ac:dyDescent="0.2">
      <c r="A22" s="148"/>
      <c r="B22" s="148"/>
      <c r="C22" s="148"/>
    </row>
    <row r="23" spans="1:6" ht="15" x14ac:dyDescent="0.25">
      <c r="A23" s="146" t="s">
        <v>1045</v>
      </c>
      <c r="B23" s="155"/>
      <c r="C23" s="155"/>
      <c r="D23" s="155"/>
      <c r="E23" s="155"/>
    </row>
    <row r="24" spans="1:6" x14ac:dyDescent="0.2">
      <c r="A24" s="148" t="str">
        <f>HLOOKUP(Intro!$B$7,$B:$E,ROW(A24),FALSE)</f>
        <v>Ja</v>
      </c>
      <c r="B24" s="110" t="s">
        <v>33</v>
      </c>
      <c r="C24" s="110" t="s">
        <v>876</v>
      </c>
      <c r="D24" s="110" t="s">
        <v>877</v>
      </c>
      <c r="E24" s="110" t="s">
        <v>877</v>
      </c>
    </row>
    <row r="25" spans="1:6" x14ac:dyDescent="0.2">
      <c r="A25" s="148" t="str">
        <f>HLOOKUP(Intro!$B$7,$B:$E,ROW(A25),FALSE)</f>
        <v>Nee</v>
      </c>
      <c r="B25" s="110" t="s">
        <v>878</v>
      </c>
      <c r="C25" s="110" t="s">
        <v>879</v>
      </c>
      <c r="D25" s="110" t="s">
        <v>879</v>
      </c>
      <c r="E25" s="110" t="s">
        <v>879</v>
      </c>
    </row>
    <row r="27" spans="1:6" ht="15" x14ac:dyDescent="0.25">
      <c r="A27" s="146" t="s">
        <v>1044</v>
      </c>
    </row>
    <row r="28" spans="1:6" x14ac:dyDescent="0.2">
      <c r="A28" s="148" t="str">
        <f>HLOOKUP(Intro!$B$7,$B:$E,ROW(A28),FALSE)</f>
        <v>Breng ik zelf in</v>
      </c>
      <c r="B28" s="110" t="s">
        <v>908</v>
      </c>
      <c r="C28" s="110" t="s">
        <v>909</v>
      </c>
      <c r="D28" s="110" t="s">
        <v>910</v>
      </c>
      <c r="E28" s="110" t="s">
        <v>911</v>
      </c>
    </row>
    <row r="29" spans="1:6" x14ac:dyDescent="0.2">
      <c r="A29" s="148" t="str">
        <f>HLOOKUP(Intro!$B$7,$B:$E,ROW(A29),FALSE)</f>
        <v>Nog te investeren</v>
      </c>
      <c r="B29" s="110" t="s">
        <v>1185</v>
      </c>
      <c r="C29" s="110" t="s">
        <v>912</v>
      </c>
      <c r="D29" s="110" t="s">
        <v>913</v>
      </c>
      <c r="E29" s="110" t="s">
        <v>914</v>
      </c>
    </row>
    <row r="31" spans="1:6" ht="15" x14ac:dyDescent="0.25">
      <c r="A31" s="146" t="s">
        <v>760</v>
      </c>
      <c r="D31" s="110" t="s">
        <v>961</v>
      </c>
      <c r="E31" s="110" t="s">
        <v>962</v>
      </c>
      <c r="F31" s="159" t="s">
        <v>566</v>
      </c>
    </row>
    <row r="32" spans="1:6" x14ac:dyDescent="0.2">
      <c r="A32" s="148" t="str">
        <f>HLOOKUP(Intro!$B$7,$B:$E,ROW(A32),FALSE)</f>
        <v>Maand 1</v>
      </c>
      <c r="B32" s="110" t="s">
        <v>37</v>
      </c>
      <c r="C32" s="110" t="s">
        <v>364</v>
      </c>
      <c r="D32" s="110" t="s">
        <v>365</v>
      </c>
      <c r="E32" s="110" t="s">
        <v>366</v>
      </c>
      <c r="F32" s="148">
        <v>1</v>
      </c>
    </row>
    <row r="33" spans="1:6" x14ac:dyDescent="0.2">
      <c r="A33" s="148" t="str">
        <f>HLOOKUP(Intro!$B$7,$B:$E,ROW(A33),FALSE)</f>
        <v>Maand 2</v>
      </c>
      <c r="B33" s="110" t="s">
        <v>39</v>
      </c>
      <c r="C33" s="110" t="s">
        <v>367</v>
      </c>
      <c r="D33" s="110" t="s">
        <v>368</v>
      </c>
      <c r="E33" s="110" t="s">
        <v>369</v>
      </c>
      <c r="F33" s="148">
        <v>2</v>
      </c>
    </row>
    <row r="34" spans="1:6" x14ac:dyDescent="0.2">
      <c r="A34" s="148" t="str">
        <f>HLOOKUP(Intro!$B$7,$B:$E,ROW(A34),FALSE)</f>
        <v>Maand 3</v>
      </c>
      <c r="B34" s="110" t="s">
        <v>40</v>
      </c>
      <c r="C34" s="110" t="s">
        <v>370</v>
      </c>
      <c r="D34" s="110" t="s">
        <v>371</v>
      </c>
      <c r="E34" s="110" t="s">
        <v>372</v>
      </c>
      <c r="F34" s="148">
        <v>3</v>
      </c>
    </row>
    <row r="35" spans="1:6" x14ac:dyDescent="0.2">
      <c r="A35" s="148" t="str">
        <f>HLOOKUP(Intro!$B$7,$B:$E,ROW(A35),FALSE)</f>
        <v>Maand 4</v>
      </c>
      <c r="B35" s="110" t="s">
        <v>41</v>
      </c>
      <c r="C35" s="110" t="s">
        <v>373</v>
      </c>
      <c r="D35" s="110" t="s">
        <v>374</v>
      </c>
      <c r="E35" s="110" t="s">
        <v>375</v>
      </c>
      <c r="F35" s="148">
        <v>4</v>
      </c>
    </row>
    <row r="36" spans="1:6" x14ac:dyDescent="0.2">
      <c r="A36" s="148" t="str">
        <f>HLOOKUP(Intro!$B$7,$B:$E,ROW(A36),FALSE)</f>
        <v>Maand 5</v>
      </c>
      <c r="B36" s="110" t="s">
        <v>42</v>
      </c>
      <c r="C36" s="110" t="s">
        <v>376</v>
      </c>
      <c r="D36" s="110" t="s">
        <v>377</v>
      </c>
      <c r="E36" s="110" t="s">
        <v>378</v>
      </c>
      <c r="F36" s="148">
        <v>5</v>
      </c>
    </row>
    <row r="37" spans="1:6" x14ac:dyDescent="0.2">
      <c r="A37" s="148" t="str">
        <f>HLOOKUP(Intro!$B$7,$B:$E,ROW(A37),FALSE)</f>
        <v>Maand 6</v>
      </c>
      <c r="B37" s="110" t="s">
        <v>43</v>
      </c>
      <c r="C37" s="110" t="s">
        <v>379</v>
      </c>
      <c r="D37" s="110" t="s">
        <v>380</v>
      </c>
      <c r="E37" s="110" t="s">
        <v>381</v>
      </c>
      <c r="F37" s="148">
        <v>6</v>
      </c>
    </row>
    <row r="38" spans="1:6" x14ac:dyDescent="0.2">
      <c r="A38" s="148" t="str">
        <f>HLOOKUP(Intro!$B$7,$B:$E,ROW(A38),FALSE)</f>
        <v>Maand 7</v>
      </c>
      <c r="B38" s="110" t="s">
        <v>44</v>
      </c>
      <c r="C38" s="110" t="s">
        <v>382</v>
      </c>
      <c r="D38" s="110" t="s">
        <v>383</v>
      </c>
      <c r="E38" s="110" t="s">
        <v>384</v>
      </c>
      <c r="F38" s="148">
        <v>7</v>
      </c>
    </row>
    <row r="39" spans="1:6" x14ac:dyDescent="0.2">
      <c r="A39" s="148" t="str">
        <f>HLOOKUP(Intro!$B$7,$B:$E,ROW(A39),FALSE)</f>
        <v>Maand 8</v>
      </c>
      <c r="B39" s="110" t="s">
        <v>45</v>
      </c>
      <c r="C39" s="110" t="s">
        <v>385</v>
      </c>
      <c r="D39" s="110" t="s">
        <v>386</v>
      </c>
      <c r="E39" s="110" t="s">
        <v>387</v>
      </c>
      <c r="F39" s="148">
        <v>8</v>
      </c>
    </row>
    <row r="40" spans="1:6" x14ac:dyDescent="0.2">
      <c r="A40" s="148" t="str">
        <f>HLOOKUP(Intro!$B$7,$B:$E,ROW(A40),FALSE)</f>
        <v>Maand 9</v>
      </c>
      <c r="B40" s="110" t="s">
        <v>46</v>
      </c>
      <c r="C40" s="110" t="s">
        <v>388</v>
      </c>
      <c r="D40" s="110" t="s">
        <v>389</v>
      </c>
      <c r="E40" s="110" t="s">
        <v>390</v>
      </c>
      <c r="F40" s="148">
        <v>9</v>
      </c>
    </row>
    <row r="41" spans="1:6" x14ac:dyDescent="0.2">
      <c r="A41" s="148" t="str">
        <f>HLOOKUP(Intro!$B$7,$B:$E,ROW(A41),FALSE)</f>
        <v>Maand 10</v>
      </c>
      <c r="B41" s="110" t="s">
        <v>47</v>
      </c>
      <c r="C41" s="110" t="s">
        <v>391</v>
      </c>
      <c r="F41" s="148">
        <v>10</v>
      </c>
    </row>
    <row r="42" spans="1:6" x14ac:dyDescent="0.2">
      <c r="A42" s="148" t="str">
        <f>HLOOKUP(Intro!$B$7,$B:$E,ROW(A42),FALSE)</f>
        <v>Maand 11</v>
      </c>
      <c r="B42" s="110" t="s">
        <v>48</v>
      </c>
      <c r="C42" s="110" t="s">
        <v>394</v>
      </c>
      <c r="F42" s="148">
        <v>11</v>
      </c>
    </row>
    <row r="43" spans="1:6" x14ac:dyDescent="0.2">
      <c r="A43" s="148" t="str">
        <f>HLOOKUP(Intro!$B$7,$B:$E,ROW(A43),FALSE)</f>
        <v>Maand 12</v>
      </c>
      <c r="B43" s="110" t="s">
        <v>49</v>
      </c>
      <c r="C43" s="110" t="s">
        <v>397</v>
      </c>
      <c r="F43" s="148">
        <v>12</v>
      </c>
    </row>
    <row r="44" spans="1:6" x14ac:dyDescent="0.2">
      <c r="A44" s="148" t="str">
        <f>HLOOKUP(Intro!$B$7,$B:$E,ROW(A44),FALSE)</f>
        <v>Maand 13</v>
      </c>
      <c r="B44" s="110" t="s">
        <v>1214</v>
      </c>
      <c r="C44" s="110" t="s">
        <v>1238</v>
      </c>
      <c r="F44" s="148">
        <v>13</v>
      </c>
    </row>
    <row r="45" spans="1:6" x14ac:dyDescent="0.2">
      <c r="A45" s="148" t="str">
        <f>HLOOKUP(Intro!$B$7,$B:$E,ROW(A45),FALSE)</f>
        <v>Maand 14</v>
      </c>
      <c r="B45" s="110" t="s">
        <v>1215</v>
      </c>
      <c r="C45" s="110" t="s">
        <v>1239</v>
      </c>
      <c r="F45" s="148">
        <v>14</v>
      </c>
    </row>
    <row r="46" spans="1:6" x14ac:dyDescent="0.2">
      <c r="A46" s="148" t="str">
        <f>HLOOKUP(Intro!$B$7,$B:$E,ROW(A46),FALSE)</f>
        <v>Maand 15</v>
      </c>
      <c r="B46" s="110" t="s">
        <v>1216</v>
      </c>
      <c r="C46" s="110" t="s">
        <v>1240</v>
      </c>
      <c r="F46" s="148">
        <v>15</v>
      </c>
    </row>
    <row r="47" spans="1:6" x14ac:dyDescent="0.2">
      <c r="A47" s="148" t="str">
        <f>HLOOKUP(Intro!$B$7,$B:$E,ROW(A47),FALSE)</f>
        <v>Maand 16</v>
      </c>
      <c r="B47" s="110" t="s">
        <v>1217</v>
      </c>
      <c r="C47" s="110" t="s">
        <v>1241</v>
      </c>
      <c r="F47" s="148">
        <v>16</v>
      </c>
    </row>
    <row r="48" spans="1:6" x14ac:dyDescent="0.2">
      <c r="A48" s="148" t="str">
        <f>HLOOKUP(Intro!$B$7,$B:$E,ROW(A48),FALSE)</f>
        <v>Maand 17</v>
      </c>
      <c r="B48" s="110" t="s">
        <v>1218</v>
      </c>
      <c r="C48" s="110" t="s">
        <v>1242</v>
      </c>
      <c r="F48" s="148">
        <v>17</v>
      </c>
    </row>
    <row r="49" spans="1:6" x14ac:dyDescent="0.2">
      <c r="A49" s="148" t="str">
        <f>HLOOKUP(Intro!$B$7,$B:$E,ROW(A49),FALSE)</f>
        <v>Maand 18</v>
      </c>
      <c r="B49" s="110" t="s">
        <v>1219</v>
      </c>
      <c r="C49" s="110" t="s">
        <v>1243</v>
      </c>
      <c r="F49" s="148">
        <v>18</v>
      </c>
    </row>
    <row r="50" spans="1:6" x14ac:dyDescent="0.2">
      <c r="A50" s="148" t="str">
        <f>HLOOKUP(Intro!$B$7,$B:$E,ROW(A50),FALSE)</f>
        <v>Maand 19</v>
      </c>
      <c r="B50" s="110" t="s">
        <v>1220</v>
      </c>
      <c r="C50" s="110" t="s">
        <v>1244</v>
      </c>
      <c r="F50" s="148">
        <v>19</v>
      </c>
    </row>
    <row r="51" spans="1:6" x14ac:dyDescent="0.2">
      <c r="A51" s="148" t="str">
        <f>HLOOKUP(Intro!$B$7,$B:$E,ROW(A51),FALSE)</f>
        <v>Maand 20</v>
      </c>
      <c r="B51" s="110" t="s">
        <v>1221</v>
      </c>
      <c r="C51" s="110" t="s">
        <v>1245</v>
      </c>
      <c r="F51" s="148">
        <v>20</v>
      </c>
    </row>
    <row r="52" spans="1:6" x14ac:dyDescent="0.2">
      <c r="A52" s="148" t="str">
        <f>HLOOKUP(Intro!$B$7,$B:$E,ROW(A52),FALSE)</f>
        <v>Maand 21</v>
      </c>
      <c r="B52" s="110" t="s">
        <v>1222</v>
      </c>
      <c r="C52" s="110" t="s">
        <v>1246</v>
      </c>
      <c r="F52" s="148">
        <v>21</v>
      </c>
    </row>
    <row r="53" spans="1:6" x14ac:dyDescent="0.2">
      <c r="A53" s="148" t="str">
        <f>HLOOKUP(Intro!$B$7,$B:$E,ROW(A53),FALSE)</f>
        <v>Maand 22</v>
      </c>
      <c r="B53" s="110" t="s">
        <v>1223</v>
      </c>
      <c r="C53" s="110" t="s">
        <v>1247</v>
      </c>
      <c r="F53" s="148">
        <v>22</v>
      </c>
    </row>
    <row r="54" spans="1:6" x14ac:dyDescent="0.2">
      <c r="A54" s="148" t="str">
        <f>HLOOKUP(Intro!$B$7,$B:$E,ROW(A54),FALSE)</f>
        <v>Maand 23</v>
      </c>
      <c r="B54" s="110" t="s">
        <v>1224</v>
      </c>
      <c r="C54" s="110" t="s">
        <v>1248</v>
      </c>
      <c r="F54" s="148">
        <v>23</v>
      </c>
    </row>
    <row r="55" spans="1:6" x14ac:dyDescent="0.2">
      <c r="A55" s="148" t="str">
        <f>HLOOKUP(Intro!$B$7,$B:$E,ROW(A55),FALSE)</f>
        <v>Maand 24</v>
      </c>
      <c r="B55" s="110" t="s">
        <v>1225</v>
      </c>
      <c r="C55" s="110" t="s">
        <v>1249</v>
      </c>
      <c r="F55" s="148">
        <v>24</v>
      </c>
    </row>
    <row r="56" spans="1:6" x14ac:dyDescent="0.2">
      <c r="A56" s="148" t="str">
        <f>HLOOKUP(Intro!$B$7,$B:$E,ROW(A56),FALSE)</f>
        <v>Maand 25</v>
      </c>
      <c r="B56" s="110" t="s">
        <v>1226</v>
      </c>
      <c r="C56" s="110" t="s">
        <v>1250</v>
      </c>
      <c r="F56" s="148">
        <v>25</v>
      </c>
    </row>
    <row r="57" spans="1:6" x14ac:dyDescent="0.2">
      <c r="A57" s="148" t="str">
        <f>HLOOKUP(Intro!$B$7,$B:$E,ROW(A57),FALSE)</f>
        <v>Maand 26</v>
      </c>
      <c r="B57" s="110" t="s">
        <v>1227</v>
      </c>
      <c r="C57" s="110" t="s">
        <v>1251</v>
      </c>
      <c r="F57" s="148">
        <v>26</v>
      </c>
    </row>
    <row r="58" spans="1:6" x14ac:dyDescent="0.2">
      <c r="A58" s="148" t="str">
        <f>HLOOKUP(Intro!$B$7,$B:$E,ROW(A58),FALSE)</f>
        <v>Maand 27</v>
      </c>
      <c r="B58" s="110" t="s">
        <v>1228</v>
      </c>
      <c r="C58" s="110" t="s">
        <v>1252</v>
      </c>
      <c r="F58" s="148">
        <v>27</v>
      </c>
    </row>
    <row r="59" spans="1:6" x14ac:dyDescent="0.2">
      <c r="A59" s="148" t="str">
        <f>HLOOKUP(Intro!$B$7,$B:$E,ROW(A59),FALSE)</f>
        <v>Maand 28</v>
      </c>
      <c r="B59" s="110" t="s">
        <v>1229</v>
      </c>
      <c r="C59" s="110" t="s">
        <v>1253</v>
      </c>
      <c r="F59" s="148">
        <v>28</v>
      </c>
    </row>
    <row r="60" spans="1:6" x14ac:dyDescent="0.2">
      <c r="A60" s="148" t="str">
        <f>HLOOKUP(Intro!$B$7,$B:$E,ROW(A60),FALSE)</f>
        <v>Maand 29</v>
      </c>
      <c r="B60" s="110" t="s">
        <v>1230</v>
      </c>
      <c r="C60" s="110" t="s">
        <v>1254</v>
      </c>
      <c r="F60" s="148">
        <v>29</v>
      </c>
    </row>
    <row r="61" spans="1:6" x14ac:dyDescent="0.2">
      <c r="A61" s="148" t="str">
        <f>HLOOKUP(Intro!$B$7,$B:$E,ROW(A61),FALSE)</f>
        <v>Maand 30</v>
      </c>
      <c r="B61" s="110" t="s">
        <v>1231</v>
      </c>
      <c r="C61" s="110" t="s">
        <v>1255</v>
      </c>
      <c r="F61" s="148">
        <v>30</v>
      </c>
    </row>
    <row r="62" spans="1:6" x14ac:dyDescent="0.2">
      <c r="A62" s="148" t="str">
        <f>HLOOKUP(Intro!$B$7,$B:$E,ROW(A62),FALSE)</f>
        <v>Maand 31</v>
      </c>
      <c r="B62" s="110" t="s">
        <v>1232</v>
      </c>
      <c r="C62" s="110" t="s">
        <v>1256</v>
      </c>
      <c r="F62" s="148">
        <v>31</v>
      </c>
    </row>
    <row r="63" spans="1:6" x14ac:dyDescent="0.2">
      <c r="A63" s="148" t="str">
        <f>HLOOKUP(Intro!$B$7,$B:$E,ROW(A63),FALSE)</f>
        <v>Maand 32</v>
      </c>
      <c r="B63" s="110" t="s">
        <v>1233</v>
      </c>
      <c r="C63" s="110" t="s">
        <v>1257</v>
      </c>
      <c r="F63" s="148">
        <v>32</v>
      </c>
    </row>
    <row r="64" spans="1:6" x14ac:dyDescent="0.2">
      <c r="A64" s="148" t="str">
        <f>HLOOKUP(Intro!$B$7,$B:$E,ROW(A64),FALSE)</f>
        <v>Maand 33</v>
      </c>
      <c r="B64" s="110" t="s">
        <v>1234</v>
      </c>
      <c r="C64" s="110" t="s">
        <v>1258</v>
      </c>
      <c r="F64" s="148">
        <v>33</v>
      </c>
    </row>
    <row r="65" spans="1:7" x14ac:dyDescent="0.2">
      <c r="A65" s="148" t="str">
        <f>HLOOKUP(Intro!$B$7,$B:$E,ROW(A65),FALSE)</f>
        <v>Maand 34</v>
      </c>
      <c r="B65" s="110" t="s">
        <v>1235</v>
      </c>
      <c r="C65" s="110" t="s">
        <v>1259</v>
      </c>
      <c r="F65" s="148">
        <v>34</v>
      </c>
    </row>
    <row r="66" spans="1:7" x14ac:dyDescent="0.2">
      <c r="A66" s="148" t="str">
        <f>HLOOKUP(Intro!$B$7,$B:$E,ROW(A66),FALSE)</f>
        <v>Maand 35</v>
      </c>
      <c r="B66" s="110" t="s">
        <v>1236</v>
      </c>
      <c r="C66" s="110" t="s">
        <v>1260</v>
      </c>
      <c r="F66" s="148">
        <v>35</v>
      </c>
    </row>
    <row r="67" spans="1:7" x14ac:dyDescent="0.2">
      <c r="A67" s="148" t="str">
        <f>HLOOKUP(Intro!$B$7,$B:$E,ROW(A67),FALSE)</f>
        <v>Maand 36</v>
      </c>
      <c r="B67" s="110" t="s">
        <v>1237</v>
      </c>
      <c r="C67" s="110" t="s">
        <v>1261</v>
      </c>
      <c r="F67" s="148">
        <v>36</v>
      </c>
    </row>
    <row r="68" spans="1:7" x14ac:dyDescent="0.2">
      <c r="A68" s="148"/>
      <c r="F68" s="148"/>
    </row>
    <row r="70" spans="1:7" x14ac:dyDescent="0.2">
      <c r="A70" s="155" t="s">
        <v>883</v>
      </c>
      <c r="F70" s="156"/>
      <c r="G70" s="156"/>
    </row>
    <row r="71" spans="1:7" x14ac:dyDescent="0.2">
      <c r="A71" s="155" t="s">
        <v>885</v>
      </c>
      <c r="F71" s="156"/>
      <c r="G71" s="156"/>
    </row>
    <row r="72" spans="1:7" x14ac:dyDescent="0.2">
      <c r="A72" s="148" t="str">
        <f>HLOOKUP(Intro!$B$7,$B:$E,ROW(A72),FALSE)</f>
        <v>Direct</v>
      </c>
      <c r="B72" s="110" t="s">
        <v>34</v>
      </c>
      <c r="C72" s="110" t="s">
        <v>34</v>
      </c>
      <c r="D72" s="110" t="s">
        <v>887</v>
      </c>
      <c r="E72" s="110" t="s">
        <v>34</v>
      </c>
      <c r="F72" s="157">
        <v>0</v>
      </c>
      <c r="G72" s="158"/>
    </row>
    <row r="73" spans="1:7" x14ac:dyDescent="0.2">
      <c r="A73" s="148" t="str">
        <f>HLOOKUP(Intro!$B$7,$B:$E,ROW(A73),FALSE)</f>
        <v>Binnen 14 dagen</v>
      </c>
      <c r="B73" s="110" t="s">
        <v>888</v>
      </c>
      <c r="C73" s="110" t="s">
        <v>889</v>
      </c>
      <c r="D73" s="110" t="s">
        <v>890</v>
      </c>
      <c r="E73" s="110" t="s">
        <v>891</v>
      </c>
      <c r="F73" s="157">
        <v>0</v>
      </c>
      <c r="G73" s="158"/>
    </row>
    <row r="74" spans="1:7" x14ac:dyDescent="0.2">
      <c r="A74" s="148" t="str">
        <f>HLOOKUP(Intro!$B$7,$B:$E,ROW(A74),FALSE)</f>
        <v>Binnen 30 dagen</v>
      </c>
      <c r="B74" s="110" t="s">
        <v>892</v>
      </c>
      <c r="C74" s="110" t="s">
        <v>893</v>
      </c>
      <c r="D74" s="110" t="s">
        <v>894</v>
      </c>
      <c r="E74" s="110" t="s">
        <v>895</v>
      </c>
      <c r="F74" s="157">
        <v>0</v>
      </c>
      <c r="G74" s="158"/>
    </row>
    <row r="75" spans="1:7" x14ac:dyDescent="0.2">
      <c r="A75" s="148" t="str">
        <f>HLOOKUP(Intro!$B$7,$B:$E,ROW(A75),FALSE)</f>
        <v>Binnen 60 dagen</v>
      </c>
      <c r="B75" s="110" t="s">
        <v>896</v>
      </c>
      <c r="C75" s="110" t="s">
        <v>897</v>
      </c>
      <c r="D75" s="110" t="s">
        <v>898</v>
      </c>
      <c r="E75" s="110" t="s">
        <v>899</v>
      </c>
      <c r="F75" s="157">
        <v>1</v>
      </c>
      <c r="G75" s="158"/>
    </row>
    <row r="76" spans="1:7" x14ac:dyDescent="0.2">
      <c r="A76" s="148" t="str">
        <f>HLOOKUP(Intro!$B$7,$B:$E,ROW(A76),FALSE)</f>
        <v>Binnen 90 dagen</v>
      </c>
      <c r="B76" s="110" t="s">
        <v>900</v>
      </c>
      <c r="C76" s="110" t="s">
        <v>901</v>
      </c>
      <c r="D76" s="110" t="s">
        <v>902</v>
      </c>
      <c r="E76" s="110" t="s">
        <v>903</v>
      </c>
      <c r="F76" s="157">
        <v>2</v>
      </c>
      <c r="G76" s="158"/>
    </row>
    <row r="79" spans="1:7" x14ac:dyDescent="0.2">
      <c r="A79" s="155" t="s">
        <v>589</v>
      </c>
      <c r="B79" s="150"/>
      <c r="C79" s="150"/>
      <c r="D79" s="150"/>
      <c r="E79" s="150"/>
    </row>
    <row r="80" spans="1:7" x14ac:dyDescent="0.2">
      <c r="A80" s="151">
        <f>HLOOKUP(Intro!$B$7,$B:$E,ROW(A80),FALSE)</f>
        <v>0</v>
      </c>
      <c r="B80" s="152">
        <v>0</v>
      </c>
      <c r="C80" s="152">
        <v>0</v>
      </c>
      <c r="D80" s="152">
        <v>0</v>
      </c>
      <c r="E80" s="152">
        <v>0</v>
      </c>
    </row>
    <row r="81" spans="1:6" x14ac:dyDescent="0.2">
      <c r="A81" s="151">
        <v>0.09</v>
      </c>
      <c r="B81" s="152">
        <v>1.4999999999999999E-2</v>
      </c>
      <c r="C81" s="152">
        <v>1.4999999999999999E-2</v>
      </c>
      <c r="D81" s="152">
        <v>1.4999999999999999E-2</v>
      </c>
      <c r="E81" s="152">
        <v>1.4999999999999999E-2</v>
      </c>
    </row>
    <row r="82" spans="1:6" x14ac:dyDescent="0.2">
      <c r="A82" s="151">
        <v>0.21</v>
      </c>
      <c r="B82" s="152">
        <v>3.5000000000000003E-2</v>
      </c>
      <c r="C82" s="152">
        <v>3.5000000000000003E-2</v>
      </c>
      <c r="D82" s="152">
        <v>3.5000000000000003E-2</v>
      </c>
      <c r="E82" s="152">
        <v>3.5000000000000003E-2</v>
      </c>
    </row>
    <row r="83" spans="1:6" x14ac:dyDescent="0.2">
      <c r="A83" s="151"/>
      <c r="B83" s="152"/>
      <c r="C83" s="152"/>
      <c r="D83" s="152"/>
      <c r="E83" s="152"/>
    </row>
    <row r="84" spans="1:6" x14ac:dyDescent="0.2">
      <c r="A84" s="155" t="s">
        <v>57</v>
      </c>
      <c r="D84" s="110" t="s">
        <v>945</v>
      </c>
      <c r="E84" s="110" t="s">
        <v>946</v>
      </c>
    </row>
    <row r="85" spans="1:6" x14ac:dyDescent="0.2">
      <c r="A85" s="151" t="str">
        <f>HLOOKUP(Intro!$B$7,$B:$E,ROW(A85),FALSE)</f>
        <v>Nee</v>
      </c>
      <c r="B85" s="110" t="s">
        <v>878</v>
      </c>
      <c r="C85" s="110" t="s">
        <v>879</v>
      </c>
      <c r="D85" s="110" t="s">
        <v>879</v>
      </c>
      <c r="E85" s="110" t="s">
        <v>879</v>
      </c>
      <c r="F85" s="156">
        <v>0</v>
      </c>
    </row>
    <row r="86" spans="1:6" x14ac:dyDescent="0.2">
      <c r="A86" s="151" t="str">
        <f>HLOOKUP(Intro!$B$7,$B:$E,ROW(A86),FALSE)</f>
        <v>minder dan 525 uren</v>
      </c>
      <c r="B86" s="110" t="s">
        <v>880</v>
      </c>
      <c r="C86" s="110" t="s">
        <v>1097</v>
      </c>
      <c r="D86" s="110" t="s">
        <v>947</v>
      </c>
      <c r="E86" s="110" t="s">
        <v>948</v>
      </c>
      <c r="F86" s="156">
        <v>1</v>
      </c>
    </row>
    <row r="87" spans="1:6" x14ac:dyDescent="0.2">
      <c r="A87" s="151" t="str">
        <f>HLOOKUP(Intro!$B$7,$B:$E,ROW(A87),FALSE)</f>
        <v>525 - 875 uren</v>
      </c>
      <c r="B87" s="110" t="s">
        <v>881</v>
      </c>
      <c r="C87" s="110" t="s">
        <v>949</v>
      </c>
      <c r="D87" s="110" t="s">
        <v>950</v>
      </c>
      <c r="E87" s="110" t="s">
        <v>951</v>
      </c>
      <c r="F87" s="156">
        <v>2</v>
      </c>
    </row>
    <row r="88" spans="1:6" x14ac:dyDescent="0.2">
      <c r="A88" s="151" t="str">
        <f>HLOOKUP(Intro!$B$7,$B:$E,ROW(A88),FALSE)</f>
        <v>875 -1225 uren</v>
      </c>
      <c r="B88" s="110" t="s">
        <v>882</v>
      </c>
      <c r="C88" s="110" t="s">
        <v>952</v>
      </c>
      <c r="D88" s="110" t="s">
        <v>953</v>
      </c>
      <c r="E88" s="110" t="s">
        <v>954</v>
      </c>
      <c r="F88" s="156">
        <v>3</v>
      </c>
    </row>
    <row r="89" spans="1:6" x14ac:dyDescent="0.2">
      <c r="A89" s="151" t="str">
        <f>HLOOKUP(Intro!$B$7,$B:$E,ROW(A89),FALSE)</f>
        <v>1225 - 1750 uren</v>
      </c>
      <c r="B89" s="110" t="s">
        <v>884</v>
      </c>
      <c r="C89" s="110" t="s">
        <v>955</v>
      </c>
      <c r="D89" s="110" t="s">
        <v>956</v>
      </c>
      <c r="E89" s="110" t="s">
        <v>957</v>
      </c>
      <c r="F89" s="156">
        <v>4</v>
      </c>
    </row>
    <row r="90" spans="1:6" x14ac:dyDescent="0.2">
      <c r="A90" s="151" t="str">
        <f>HLOOKUP(Intro!$B$7,$B:$E,ROW(A90),FALSE)</f>
        <v>meer dan 1750 uren</v>
      </c>
      <c r="B90" s="110" t="s">
        <v>886</v>
      </c>
      <c r="C90" s="110" t="s">
        <v>958</v>
      </c>
      <c r="D90" s="110" t="s">
        <v>959</v>
      </c>
      <c r="E90" s="110" t="s">
        <v>960</v>
      </c>
      <c r="F90" s="156">
        <v>5</v>
      </c>
    </row>
    <row r="91" spans="1:6" x14ac:dyDescent="0.2">
      <c r="A91" s="151"/>
      <c r="B91" s="152"/>
      <c r="C91" s="152"/>
      <c r="D91" s="152"/>
      <c r="E91" s="152"/>
    </row>
    <row r="92" spans="1:6" x14ac:dyDescent="0.2">
      <c r="A92" s="155" t="s">
        <v>875</v>
      </c>
    </row>
    <row r="93" spans="1:6" x14ac:dyDescent="0.2">
      <c r="A93" s="153">
        <f>HLOOKUP(Intro!$B$7,$B:$E,ROW(A93),FALSE)</f>
        <v>1</v>
      </c>
      <c r="B93" s="110">
        <v>1</v>
      </c>
      <c r="C93" s="110">
        <v>1</v>
      </c>
      <c r="D93" s="110">
        <v>1</v>
      </c>
      <c r="E93" s="110">
        <v>1</v>
      </c>
    </row>
    <row r="94" spans="1:6" x14ac:dyDescent="0.2">
      <c r="A94" s="153">
        <f>HLOOKUP(Intro!$B$7,$B:$E,ROW(A94),FALSE)</f>
        <v>2</v>
      </c>
      <c r="B94" s="110">
        <v>2</v>
      </c>
      <c r="C94" s="110">
        <v>2</v>
      </c>
      <c r="D94" s="110">
        <v>2</v>
      </c>
      <c r="E94" s="110">
        <v>2</v>
      </c>
    </row>
    <row r="95" spans="1:6" x14ac:dyDescent="0.2">
      <c r="A95" s="153">
        <f>HLOOKUP(Intro!$B$7,$B:$E,ROW(A95),FALSE)</f>
        <v>3</v>
      </c>
      <c r="B95" s="110">
        <v>3</v>
      </c>
      <c r="C95" s="110">
        <v>3</v>
      </c>
      <c r="D95" s="110">
        <v>3</v>
      </c>
      <c r="E95" s="110">
        <v>3</v>
      </c>
    </row>
    <row r="96" spans="1:6" x14ac:dyDescent="0.2">
      <c r="A96" s="153">
        <f>HLOOKUP(Intro!$B$7,$B:$E,ROW(A96),FALSE)</f>
        <v>4</v>
      </c>
      <c r="B96" s="110">
        <v>4</v>
      </c>
      <c r="C96" s="110">
        <v>4</v>
      </c>
      <c r="D96" s="110">
        <v>4</v>
      </c>
      <c r="E96" s="110">
        <v>4</v>
      </c>
    </row>
    <row r="97" spans="1:5" x14ac:dyDescent="0.2">
      <c r="A97" s="153">
        <f>HLOOKUP(Intro!$B$7,$B:$E,ROW(A97),FALSE)</f>
        <v>5</v>
      </c>
      <c r="B97" s="110">
        <v>5</v>
      </c>
      <c r="C97" s="110">
        <v>5</v>
      </c>
      <c r="D97" s="110">
        <v>5</v>
      </c>
      <c r="E97" s="110">
        <v>5</v>
      </c>
    </row>
    <row r="98" spans="1:5" x14ac:dyDescent="0.2">
      <c r="A98" s="153">
        <f>HLOOKUP(Intro!$B$7,$B:$E,ROW(A98),FALSE)</f>
        <v>6</v>
      </c>
      <c r="B98" s="110">
        <v>6</v>
      </c>
      <c r="C98" s="110">
        <v>6</v>
      </c>
      <c r="D98" s="110">
        <v>6</v>
      </c>
      <c r="E98" s="110">
        <v>6</v>
      </c>
    </row>
    <row r="99" spans="1:5" x14ac:dyDescent="0.2">
      <c r="A99" s="153">
        <f>HLOOKUP(Intro!$B$7,$B:$E,ROW(A99),FALSE)</f>
        <v>7</v>
      </c>
      <c r="B99" s="110">
        <v>7</v>
      </c>
      <c r="C99" s="110">
        <v>7</v>
      </c>
      <c r="D99" s="110">
        <v>7</v>
      </c>
      <c r="E99" s="110">
        <v>7</v>
      </c>
    </row>
    <row r="100" spans="1:5" x14ac:dyDescent="0.2">
      <c r="A100" s="153">
        <f>HLOOKUP(Intro!$B$7,$B:$E,ROW(A100),FALSE)</f>
        <v>8</v>
      </c>
      <c r="B100" s="110">
        <v>8</v>
      </c>
      <c r="C100" s="110">
        <v>8</v>
      </c>
      <c r="D100" s="110">
        <v>8</v>
      </c>
      <c r="E100" s="110">
        <v>8</v>
      </c>
    </row>
    <row r="101" spans="1:5" x14ac:dyDescent="0.2">
      <c r="A101" s="153">
        <f>HLOOKUP(Intro!$B$7,$B:$E,ROW(A101),FALSE)</f>
        <v>9</v>
      </c>
      <c r="B101" s="110">
        <v>9</v>
      </c>
      <c r="C101" s="110">
        <v>9</v>
      </c>
      <c r="D101" s="110">
        <v>9</v>
      </c>
      <c r="E101" s="110">
        <v>9</v>
      </c>
    </row>
    <row r="102" spans="1:5" x14ac:dyDescent="0.2">
      <c r="A102" s="153">
        <f>HLOOKUP(Intro!$B$7,$B:$E,ROW(A102),FALSE)</f>
        <v>10</v>
      </c>
      <c r="B102" s="110">
        <v>10</v>
      </c>
      <c r="C102" s="110">
        <v>10</v>
      </c>
      <c r="D102" s="110">
        <v>10</v>
      </c>
      <c r="E102" s="110">
        <v>10</v>
      </c>
    </row>
    <row r="103" spans="1:5" x14ac:dyDescent="0.2">
      <c r="A103" s="154"/>
    </row>
    <row r="104" spans="1:5" x14ac:dyDescent="0.2">
      <c r="A104" s="155" t="s">
        <v>907</v>
      </c>
    </row>
    <row r="105" spans="1:5" x14ac:dyDescent="0.2">
      <c r="A105" s="153">
        <f>HLOOKUP(Intro!$B$7,$B:$E,ROW(A105),FALSE)</f>
        <v>0</v>
      </c>
      <c r="B105" s="110">
        <v>0</v>
      </c>
      <c r="C105" s="110">
        <v>0</v>
      </c>
      <c r="D105" s="110">
        <v>0</v>
      </c>
      <c r="E105" s="110">
        <v>0</v>
      </c>
    </row>
    <row r="106" spans="1:5" x14ac:dyDescent="0.2">
      <c r="A106" s="153">
        <f>HLOOKUP(Intro!$B$7,$B:$E,ROW(A106),FALSE)</f>
        <v>1</v>
      </c>
      <c r="B106" s="110">
        <v>1</v>
      </c>
      <c r="C106" s="110">
        <v>1</v>
      </c>
      <c r="D106" s="110">
        <v>1</v>
      </c>
      <c r="E106" s="110">
        <v>1</v>
      </c>
    </row>
    <row r="107" spans="1:5" x14ac:dyDescent="0.2">
      <c r="A107" s="153">
        <f>HLOOKUP(Intro!$B$7,$B:$E,ROW(A107),FALSE)</f>
        <v>2</v>
      </c>
      <c r="B107" s="110">
        <v>2</v>
      </c>
      <c r="C107" s="110">
        <v>2</v>
      </c>
      <c r="D107" s="110">
        <v>2</v>
      </c>
      <c r="E107" s="110">
        <v>2</v>
      </c>
    </row>
    <row r="108" spans="1:5" x14ac:dyDescent="0.2">
      <c r="A108" s="153">
        <f>HLOOKUP(Intro!$B$7,$B:$E,ROW(A108),FALSE)</f>
        <v>3</v>
      </c>
      <c r="B108" s="110">
        <v>3</v>
      </c>
      <c r="C108" s="110">
        <v>3</v>
      </c>
      <c r="D108" s="110">
        <v>3</v>
      </c>
      <c r="E108" s="110">
        <v>3</v>
      </c>
    </row>
    <row r="109" spans="1:5" x14ac:dyDescent="0.2">
      <c r="A109" s="153">
        <f>HLOOKUP(Intro!$B$7,$B:$E,ROW(A109),FALSE)</f>
        <v>4</v>
      </c>
      <c r="B109" s="110">
        <v>4</v>
      </c>
      <c r="C109" s="110">
        <v>4</v>
      </c>
      <c r="D109" s="110">
        <v>4</v>
      </c>
      <c r="E109" s="110">
        <v>4</v>
      </c>
    </row>
    <row r="110" spans="1:5" x14ac:dyDescent="0.2">
      <c r="A110" s="153">
        <f>HLOOKUP(Intro!$B$7,$B:$E,ROW(A110),FALSE)</f>
        <v>5</v>
      </c>
      <c r="B110" s="110">
        <v>5</v>
      </c>
      <c r="C110" s="110">
        <v>5</v>
      </c>
      <c r="D110" s="110">
        <v>5</v>
      </c>
      <c r="E110" s="110">
        <v>5</v>
      </c>
    </row>
    <row r="111" spans="1:5" x14ac:dyDescent="0.2">
      <c r="A111" s="153">
        <f>HLOOKUP(Intro!$B$7,$B:$E,ROW(A111),FALSE)</f>
        <v>6</v>
      </c>
      <c r="B111" s="110">
        <v>6</v>
      </c>
      <c r="C111" s="110">
        <v>6</v>
      </c>
      <c r="D111" s="110">
        <v>6</v>
      </c>
      <c r="E111" s="110">
        <v>6</v>
      </c>
    </row>
    <row r="112" spans="1:5" x14ac:dyDescent="0.2">
      <c r="A112" s="153">
        <f>HLOOKUP(Intro!$B$7,$B:$E,ROW(A112),FALSE)</f>
        <v>7</v>
      </c>
      <c r="B112" s="110">
        <v>7</v>
      </c>
      <c r="C112" s="110">
        <v>7</v>
      </c>
      <c r="D112" s="110">
        <v>7</v>
      </c>
      <c r="E112" s="110">
        <v>7</v>
      </c>
    </row>
    <row r="113" spans="1:5" x14ac:dyDescent="0.2">
      <c r="A113" s="153">
        <f>HLOOKUP(Intro!$B$7,$B:$E,ROW(A113),FALSE)</f>
        <v>8</v>
      </c>
      <c r="B113" s="110">
        <v>8</v>
      </c>
      <c r="C113" s="110">
        <v>8</v>
      </c>
      <c r="D113" s="110">
        <v>8</v>
      </c>
      <c r="E113" s="110">
        <v>8</v>
      </c>
    </row>
    <row r="114" spans="1:5" x14ac:dyDescent="0.2">
      <c r="A114" s="153">
        <f>HLOOKUP(Intro!$B$7,$B:$E,ROW(A114),FALSE)</f>
        <v>9</v>
      </c>
      <c r="B114" s="110">
        <v>9</v>
      </c>
      <c r="C114" s="110">
        <v>9</v>
      </c>
      <c r="D114" s="110">
        <v>9</v>
      </c>
      <c r="E114" s="110">
        <v>9</v>
      </c>
    </row>
    <row r="115" spans="1:5" x14ac:dyDescent="0.2">
      <c r="A115" s="153">
        <f>HLOOKUP(Intro!$B$7,$B:$E,ROW(A115),FALSE)</f>
        <v>10</v>
      </c>
      <c r="B115" s="110">
        <v>10</v>
      </c>
      <c r="C115" s="110">
        <v>10</v>
      </c>
      <c r="D115" s="110">
        <v>10</v>
      </c>
      <c r="E115" s="110">
        <v>10</v>
      </c>
    </row>
    <row r="116" spans="1:5" x14ac:dyDescent="0.2">
      <c r="A116" s="153">
        <f>HLOOKUP(Intro!$B$7,$B:$E,ROW(A116),FALSE)</f>
        <v>11</v>
      </c>
      <c r="B116" s="110">
        <v>11</v>
      </c>
      <c r="C116" s="110">
        <v>11</v>
      </c>
      <c r="D116" s="110">
        <v>11</v>
      </c>
      <c r="E116" s="110">
        <v>11</v>
      </c>
    </row>
    <row r="117" spans="1:5" x14ac:dyDescent="0.2">
      <c r="A117" s="153">
        <f>HLOOKUP(Intro!$B$7,$B:$E,ROW(A117),FALSE)</f>
        <v>12</v>
      </c>
      <c r="B117" s="110">
        <v>12</v>
      </c>
      <c r="C117" s="110">
        <v>12</v>
      </c>
      <c r="D117" s="110">
        <v>12</v>
      </c>
      <c r="E117" s="110">
        <v>12</v>
      </c>
    </row>
    <row r="118" spans="1:5" x14ac:dyDescent="0.2">
      <c r="A118" s="153"/>
    </row>
    <row r="119" spans="1:5" x14ac:dyDescent="0.2">
      <c r="A119" s="155" t="s">
        <v>800</v>
      </c>
    </row>
    <row r="120" spans="1:5" x14ac:dyDescent="0.2">
      <c r="A120" s="153" t="str">
        <f>HLOOKUP(Intro!$B$7,$B:$E,ROW(A120),FALSE)</f>
        <v>Annuïteit</v>
      </c>
      <c r="B120" s="148" t="s">
        <v>972</v>
      </c>
      <c r="C120" s="148" t="s">
        <v>973</v>
      </c>
    </row>
    <row r="121" spans="1:5" x14ac:dyDescent="0.2">
      <c r="A121" s="153" t="str">
        <f>HLOOKUP(Intro!$B$7,$B:$E,ROW(A121),FALSE)</f>
        <v>Lineair</v>
      </c>
      <c r="B121" s="148" t="s">
        <v>974</v>
      </c>
      <c r="C121" s="148" t="s">
        <v>975</v>
      </c>
    </row>
    <row r="122" spans="1:5" x14ac:dyDescent="0.2">
      <c r="A122" s="153"/>
    </row>
  </sheetData>
  <sheetProtection algorithmName="SHA-512" hashValue="155BXNdRWXKFerC+/z8/Fi749xGoDkpO+D8O/W8GtidVdf7Zq9AGlWo38/y/lp4EDqFNyFXU+AzdAQ2NoJoWeQ==" saltValue="xJrJ5hQK+VdpQ5o0Y8hukQ==" spinCount="100000" sheet="1" objects="1" scenarios="1"/>
  <phoneticPr fontId="92" type="noConversion"/>
  <pageMargins left="0.7" right="0.7" top="0.75" bottom="0.75" header="0.51180555555555551" footer="0.51180555555555551"/>
  <pageSetup paperSize="9" firstPageNumber="0"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Blad9"/>
  <dimension ref="A1:U64"/>
  <sheetViews>
    <sheetView topLeftCell="B1" zoomScaleNormal="100" workbookViewId="0">
      <selection activeCell="Q29" sqref="Q29"/>
    </sheetView>
  </sheetViews>
  <sheetFormatPr defaultRowHeight="12.75" x14ac:dyDescent="0.2"/>
  <cols>
    <col min="1" max="1" width="20.85546875" style="27" customWidth="1"/>
    <col min="2" max="3" width="16.7109375" style="27" bestFit="1" customWidth="1"/>
    <col min="4" max="4" width="12" style="27" customWidth="1"/>
    <col min="5" max="5" width="11.7109375" style="27" bestFit="1" customWidth="1"/>
    <col min="6" max="7" width="20.28515625" style="27" bestFit="1" customWidth="1"/>
    <col min="8" max="8" width="9.140625" style="27"/>
    <col min="9" max="9" width="19.5703125" style="27" customWidth="1"/>
    <col min="10" max="10" width="15.42578125" style="27" bestFit="1" customWidth="1"/>
    <col min="11" max="11" width="12.140625" style="27" customWidth="1"/>
    <col min="12" max="12" width="7.85546875" style="27" customWidth="1"/>
    <col min="13" max="13" width="11" style="27" customWidth="1"/>
    <col min="14" max="14" width="10.28515625" style="27" customWidth="1"/>
    <col min="15" max="15" width="19.42578125" style="27" bestFit="1" customWidth="1"/>
    <col min="16" max="17" width="15.42578125" style="27" bestFit="1" customWidth="1"/>
    <col min="18" max="18" width="9.140625" style="27"/>
    <col min="19" max="20" width="10.28515625" style="27" bestFit="1" customWidth="1"/>
    <col min="21" max="16384" width="9.140625" style="27"/>
  </cols>
  <sheetData>
    <row r="1" spans="1:20" ht="24" thickTop="1" x14ac:dyDescent="0.35">
      <c r="A1" s="87" t="s">
        <v>1055</v>
      </c>
      <c r="B1" s="88"/>
      <c r="C1" s="88"/>
      <c r="D1" s="88"/>
      <c r="E1" s="88"/>
      <c r="F1" s="95" t="s">
        <v>976</v>
      </c>
      <c r="G1" s="96"/>
      <c r="J1" s="81" t="str">
        <f>VRAGENLIJST!$D$10</f>
        <v/>
      </c>
      <c r="Q1" s="81" t="str">
        <f>VRAGENLIJST!$H$10</f>
        <v>Ondernemer:</v>
      </c>
      <c r="R1" s="89"/>
      <c r="S1" s="89"/>
      <c r="T1" s="89"/>
    </row>
    <row r="2" spans="1:20" ht="13.5" thickBot="1" x14ac:dyDescent="0.25">
      <c r="A2" s="89" t="s">
        <v>977</v>
      </c>
      <c r="B2" s="90">
        <v>45162</v>
      </c>
      <c r="C2" s="88"/>
      <c r="D2" s="88"/>
      <c r="E2" s="88"/>
      <c r="F2" s="97" t="s">
        <v>724</v>
      </c>
      <c r="G2" s="98">
        <f>Exploitatie!$C$35</f>
        <v>0</v>
      </c>
      <c r="I2" s="97" t="s">
        <v>724</v>
      </c>
      <c r="J2" s="98">
        <f>IF(VRAGENLIJST!$D$4="B.V.",0,IF($J$1="",0,G2*VRAGENLIJST!$D$11))</f>
        <v>0</v>
      </c>
      <c r="P2" s="97" t="s">
        <v>978</v>
      </c>
      <c r="Q2" s="98">
        <f>IF(OR(VRAGENLIJST!$D$4=dropdowns!B6,VRAGENLIJST!D4=dropdowns!C6),0,IF(OR($Q$1=Vertaling!B41,Q1=Vertaling!C41),G2,G2*VRAGENLIJST!$H$11))</f>
        <v>0</v>
      </c>
      <c r="R2" s="99"/>
      <c r="S2" s="99"/>
      <c r="T2" s="99"/>
    </row>
    <row r="3" spans="1:20" ht="15.75" thickTop="1" x14ac:dyDescent="0.25">
      <c r="A3" s="80" t="s">
        <v>663</v>
      </c>
      <c r="B3" s="81" t="str">
        <f>VRAGENLIJST!$H$10</f>
        <v>Ondernemer:</v>
      </c>
      <c r="C3" s="81" t="str">
        <f>VRAGENLIJST!$D$10</f>
        <v/>
      </c>
      <c r="D3" s="88"/>
      <c r="F3" s="97" t="s">
        <v>979</v>
      </c>
      <c r="G3" s="98">
        <f>IF('Investering &amp; Financiering'!E6&gt;G4,'Investering &amp; Financiering'!E6)+IF('Investering &amp; Financiering'!E7&gt;G4,'Investering &amp; Financiering'!E7)+IF('Investering &amp; Financiering'!E8&gt;G4,'Investering &amp; Financiering'!E8)</f>
        <v>0</v>
      </c>
      <c r="I3" s="97" t="s">
        <v>979</v>
      </c>
      <c r="J3" s="98">
        <f>IF($J$1="",0,G3*VRAGENLIJST!$D$11)</f>
        <v>0</v>
      </c>
      <c r="P3" s="97" t="s">
        <v>979</v>
      </c>
      <c r="Q3" s="98">
        <f>IF($J$1="",0,G3*(1-VRAGENLIJST!$D$11))</f>
        <v>0</v>
      </c>
      <c r="S3" s="99"/>
      <c r="T3" s="99"/>
    </row>
    <row r="4" spans="1:20" ht="15" x14ac:dyDescent="0.25">
      <c r="A4" s="91" t="s">
        <v>734</v>
      </c>
      <c r="B4" s="92">
        <f>IF(Q2-Q4&lt;0,0,(Q2-Q4))</f>
        <v>0</v>
      </c>
      <c r="C4" s="92">
        <f>IF(J2-J4&lt;0,0,(J2-J4))</f>
        <v>0</v>
      </c>
      <c r="D4" s="88"/>
      <c r="E4" s="64"/>
      <c r="F4" s="99" t="s">
        <v>1046</v>
      </c>
      <c r="G4" s="98">
        <v>450</v>
      </c>
      <c r="I4" s="97" t="s">
        <v>730</v>
      </c>
      <c r="J4" s="98">
        <f>'IB VPB 1'!I6+'IB VPB 1'!I11+'IB VPB 1'!I16+'IB VPB 1'!I25+'IB VPB 1'!I36</f>
        <v>0</v>
      </c>
      <c r="P4" s="97" t="s">
        <v>730</v>
      </c>
      <c r="Q4" s="98">
        <f>'IB VPB 1'!P6+'IB VPB 1'!P11+'IB VPB 1'!P16+'IB VPB 1'!P25+'IB VPB 1'!P36</f>
        <v>0</v>
      </c>
      <c r="R4" s="89"/>
      <c r="S4" s="105"/>
      <c r="T4" s="99"/>
    </row>
    <row r="5" spans="1:20" ht="15" x14ac:dyDescent="0.25">
      <c r="A5" s="111" t="s">
        <v>738</v>
      </c>
      <c r="B5" s="113">
        <f>ROUNDDOWN(SUM(B21:E21),0)</f>
        <v>0</v>
      </c>
      <c r="C5" s="113">
        <f>ROUNDDOWN(SUM(B26:E26),0)</f>
        <v>0</v>
      </c>
      <c r="D5" s="88"/>
      <c r="E5" s="64"/>
      <c r="F5" s="97" t="s">
        <v>1058</v>
      </c>
      <c r="G5" s="98">
        <f>G2-J4-Q4</f>
        <v>0</v>
      </c>
      <c r="P5" s="89"/>
      <c r="Q5" s="100"/>
      <c r="R5" s="99"/>
      <c r="S5" s="99"/>
      <c r="T5" s="99"/>
    </row>
    <row r="6" spans="1:20" ht="21" x14ac:dyDescent="0.55000000000000004">
      <c r="A6" s="112" t="s">
        <v>1089</v>
      </c>
      <c r="B6" s="74">
        <f>IF(P39+P46&lt;0,0,P39+P46)</f>
        <v>0</v>
      </c>
      <c r="C6" s="74">
        <f>IF(I39+I46&lt;0,0,I39+I46)</f>
        <v>0</v>
      </c>
      <c r="D6" s="88"/>
      <c r="E6" s="142"/>
      <c r="I6" s="101">
        <f>IF(J$2&lt;=0,0,IF(OR(VRAGENLIJST!$D$329=dropdowns!$B$24,VRAGENLIJST!$D$329=dropdowns!$C$24,VRAGENLIJST!$D$329=dropdowns!$D$24,VRAGENLIJST!$D$329=dropdowns!$E$24),L9,0))</f>
        <v>0</v>
      </c>
      <c r="J6" s="484" t="str">
        <f>Q6</f>
        <v>Zelfstandigenaftrek (2023)</v>
      </c>
      <c r="K6" s="484"/>
      <c r="L6" s="484"/>
      <c r="M6" s="99"/>
      <c r="P6" s="101">
        <f>IF(Q$2&lt;=0,0,IF(OR(VRAGENLIJST!$H$329=dropdowns!$B$24,VRAGENLIJST!$H$329=dropdowns!$C$24,VRAGENLIJST!$H$329=dropdowns!$D$24,VRAGENLIJST!$H$329=dropdowns!$E$24),S9,0))</f>
        <v>0</v>
      </c>
      <c r="Q6" s="484" t="s">
        <v>1047</v>
      </c>
      <c r="R6" s="484"/>
      <c r="S6" s="484"/>
    </row>
    <row r="7" spans="1:20" ht="21" x14ac:dyDescent="0.55000000000000004">
      <c r="A7" s="112" t="s">
        <v>1088</v>
      </c>
      <c r="B7" s="74">
        <f>IF(P61&lt;0,0,P61)</f>
        <v>0</v>
      </c>
      <c r="C7" s="74">
        <f>IF(I61&lt;0,0,I61)</f>
        <v>0</v>
      </c>
      <c r="D7" s="88"/>
      <c r="E7" s="142"/>
      <c r="J7" s="485" t="s">
        <v>724</v>
      </c>
      <c r="K7" s="485"/>
      <c r="L7" s="103" t="s">
        <v>981</v>
      </c>
      <c r="M7" s="99"/>
      <c r="Q7" s="485" t="s">
        <v>724</v>
      </c>
      <c r="R7" s="485"/>
      <c r="S7" s="103" t="s">
        <v>981</v>
      </c>
      <c r="T7" s="99"/>
    </row>
    <row r="8" spans="1:20" ht="21" x14ac:dyDescent="0.55000000000000004">
      <c r="A8" s="112" t="s">
        <v>1086</v>
      </c>
      <c r="B8" s="74">
        <f>IF(P55&lt;0,0,P55)</f>
        <v>0</v>
      </c>
      <c r="C8" s="74">
        <f>IF(I55&lt;0,0,I55)</f>
        <v>0</v>
      </c>
      <c r="D8" s="88"/>
      <c r="E8" s="142"/>
      <c r="I8" s="102"/>
      <c r="J8" s="145" t="s">
        <v>982</v>
      </c>
      <c r="K8" s="145" t="s">
        <v>983</v>
      </c>
      <c r="L8" s="145"/>
      <c r="M8" s="99"/>
      <c r="P8" s="102"/>
      <c r="Q8" s="145" t="s">
        <v>982</v>
      </c>
      <c r="R8" s="145" t="s">
        <v>983</v>
      </c>
      <c r="S8" s="145"/>
      <c r="T8" s="99"/>
    </row>
    <row r="9" spans="1:20" ht="21" x14ac:dyDescent="0.55000000000000004">
      <c r="A9" s="112" t="s">
        <v>1057</v>
      </c>
      <c r="B9" s="74">
        <f>IF(OR(VRAGENLIJST!D4=dropdowns!$B$6,VRAGENLIJST!D4=dropdowns!$C$6,VRAGENLIJST!D4=dropdowns!$D$6,VRAGENLIJST!D4=dropdowns!$E$6),SUM(B35:E35),0)</f>
        <v>0</v>
      </c>
      <c r="C9" s="74">
        <f>IF(OR(VRAGENLIJST!D4=dropdowns!$B$6,VRAGENLIJST!D4=dropdowns!$C$6,VRAGENLIJST!D4=dropdowns!$D$6,VRAGENLIJST!D4=dropdowns!$E$6),SUM(B35:E35),0)</f>
        <v>0</v>
      </c>
      <c r="D9" s="88"/>
      <c r="E9" s="142"/>
      <c r="I9" s="102"/>
      <c r="J9" s="104">
        <f>Q9</f>
        <v>0</v>
      </c>
      <c r="K9" s="104"/>
      <c r="L9" s="104">
        <f>S9</f>
        <v>2470</v>
      </c>
      <c r="M9" s="105"/>
      <c r="P9" s="102"/>
      <c r="Q9" s="104">
        <v>0</v>
      </c>
      <c r="R9" s="104"/>
      <c r="S9" s="104">
        <v>2470</v>
      </c>
      <c r="T9" s="105"/>
    </row>
    <row r="10" spans="1:20" ht="15.75" thickBot="1" x14ac:dyDescent="0.3">
      <c r="A10" s="93" t="s">
        <v>980</v>
      </c>
      <c r="B10" s="114">
        <f>IF(B5-B6+B7+B8&lt;0,0,B5-B6+B7+B8)</f>
        <v>0</v>
      </c>
      <c r="C10" s="114">
        <f>IF(C5-C6+C7+C8&lt;0,0,C5-C6+C7+C8)</f>
        <v>0</v>
      </c>
      <c r="D10" s="88"/>
      <c r="E10" s="64"/>
      <c r="I10" s="102"/>
      <c r="J10" s="99"/>
      <c r="K10" s="99"/>
      <c r="L10" s="99"/>
      <c r="M10" s="99"/>
      <c r="P10" s="102"/>
      <c r="Q10" s="99"/>
      <c r="R10" s="99"/>
      <c r="S10" s="99"/>
      <c r="T10" s="99"/>
    </row>
    <row r="11" spans="1:20" ht="16.5" thickTop="1" thickBot="1" x14ac:dyDescent="0.3">
      <c r="A11" s="64"/>
      <c r="B11" s="115" t="e">
        <f>B10/Q2</f>
        <v>#DIV/0!</v>
      </c>
      <c r="C11" s="115" t="e">
        <f>C10/J2</f>
        <v>#DIV/0!</v>
      </c>
      <c r="D11" s="64"/>
      <c r="E11" s="64"/>
      <c r="I11" s="101">
        <f>IF(J$2&lt;=0,0,IF(OR(VRAGENLIJST!$D$331=dropdowns!$B$24,VRAGENLIJST!$D$331=dropdowns!$C$24,VRAGENLIJST!$D$331=dropdowns!$D$24,VRAGENLIJST!$D$331=dropdowns!$E$24),L14,0))</f>
        <v>0</v>
      </c>
      <c r="J11" s="484" t="str">
        <f>Q11</f>
        <v>Startersaftrek (2023)</v>
      </c>
      <c r="K11" s="484"/>
      <c r="L11" s="484"/>
      <c r="M11" s="99"/>
      <c r="P11" s="101">
        <f>IF(Q$2&lt;=0,0,IF(OR(VRAGENLIJST!$H$331=dropdowns!$B$24,VRAGENLIJST!$H$331=dropdowns!$C$24,VRAGENLIJST!$H$331=dropdowns!$D$24,VRAGENLIJST!$H$331=dropdowns!$E$24),S14,0))</f>
        <v>0</v>
      </c>
      <c r="Q11" s="484" t="s">
        <v>1048</v>
      </c>
      <c r="R11" s="484"/>
      <c r="S11" s="484"/>
      <c r="T11" s="99"/>
    </row>
    <row r="12" spans="1:20" ht="15.75" thickTop="1" x14ac:dyDescent="0.25">
      <c r="A12" s="80" t="s">
        <v>1052</v>
      </c>
      <c r="B12" s="81"/>
      <c r="C12" s="81"/>
      <c r="D12" s="81"/>
      <c r="E12" s="82"/>
      <c r="I12" s="102"/>
      <c r="J12" s="485" t="s">
        <v>724</v>
      </c>
      <c r="K12" s="485"/>
      <c r="L12" s="103" t="s">
        <v>981</v>
      </c>
      <c r="M12" s="99"/>
      <c r="P12" s="102"/>
      <c r="Q12" s="485" t="s">
        <v>724</v>
      </c>
      <c r="R12" s="485"/>
      <c r="S12" s="103" t="s">
        <v>981</v>
      </c>
      <c r="T12" s="99"/>
    </row>
    <row r="13" spans="1:20" ht="15" x14ac:dyDescent="0.25">
      <c r="A13" s="70" t="s">
        <v>984</v>
      </c>
      <c r="B13" s="83">
        <v>0.35820000000000002</v>
      </c>
      <c r="C13" s="84">
        <v>0.37480000000000002</v>
      </c>
      <c r="D13" s="83">
        <v>0.495</v>
      </c>
      <c r="E13" s="85"/>
      <c r="I13" s="102"/>
      <c r="J13" s="145" t="s">
        <v>982</v>
      </c>
      <c r="K13" s="145" t="s">
        <v>983</v>
      </c>
      <c r="L13" s="145"/>
      <c r="M13" s="99"/>
      <c r="P13" s="102"/>
      <c r="Q13" s="145" t="s">
        <v>982</v>
      </c>
      <c r="R13" s="145" t="s">
        <v>983</v>
      </c>
      <c r="S13" s="145"/>
      <c r="T13" s="99"/>
    </row>
    <row r="14" spans="1:20" ht="15.75" thickBot="1" x14ac:dyDescent="0.3">
      <c r="A14" s="86" t="s">
        <v>985</v>
      </c>
      <c r="B14" s="78">
        <v>38441</v>
      </c>
      <c r="C14" s="78">
        <v>76817</v>
      </c>
      <c r="D14" s="78"/>
      <c r="E14" s="79"/>
      <c r="I14" s="102"/>
      <c r="J14" s="104">
        <f>Q14</f>
        <v>0</v>
      </c>
      <c r="K14" s="104"/>
      <c r="L14" s="104">
        <f>S14</f>
        <v>2123</v>
      </c>
      <c r="M14" s="99"/>
      <c r="P14" s="102"/>
      <c r="Q14" s="104">
        <v>0</v>
      </c>
      <c r="R14" s="104"/>
      <c r="S14" s="104">
        <v>2123</v>
      </c>
      <c r="T14" s="99"/>
    </row>
    <row r="15" spans="1:20" ht="15.75" thickTop="1" x14ac:dyDescent="0.25">
      <c r="A15" s="64"/>
      <c r="B15" s="64"/>
      <c r="C15" s="64"/>
      <c r="D15" s="64"/>
      <c r="E15" s="64"/>
      <c r="I15" s="102"/>
      <c r="J15" s="99"/>
      <c r="K15" s="99"/>
      <c r="L15" s="99"/>
      <c r="M15" s="99"/>
      <c r="P15" s="102"/>
      <c r="Q15" s="99"/>
      <c r="R15" s="99"/>
      <c r="S15" s="99"/>
      <c r="T15" s="99"/>
    </row>
    <row r="16" spans="1:20" ht="15.75" thickBot="1" x14ac:dyDescent="0.3">
      <c r="A16" s="94"/>
      <c r="B16" s="64"/>
      <c r="C16" s="64"/>
      <c r="D16" s="64"/>
      <c r="E16" s="64"/>
      <c r="I16" s="101">
        <f>ROUNDUP(IF(J$2&lt;=0,0,IF(OR(VRAGENLIJST!$D$333=dropdowns!$B$25,VRAGENLIJST!$D$333=dropdowns!$C$25,VRAGENLIJST!$D$333=dropdowns!$D$25,VRAGENLIJST!$D$333=dropdowns!$E$25),0,SUM(M19:M23))),0)</f>
        <v>0</v>
      </c>
      <c r="J16" s="484" t="str">
        <f>Q16</f>
        <v>Meewerkaftrek (2023)</v>
      </c>
      <c r="K16" s="484"/>
      <c r="L16" s="484"/>
      <c r="M16" s="99"/>
      <c r="P16" s="101">
        <f>ROUNDUP(IF(Q$2&lt;=0,0,IF(OR(VRAGENLIJST!$H$333=dropdowns!$B$25,VRAGENLIJST!$H$333=dropdowns!$C$25,VRAGENLIJST!$H$333=dropdowns!$D$25,VRAGENLIJST!$H$333=dropdowns!$E$25),0,SUM(T19:T23))),0)</f>
        <v>0</v>
      </c>
      <c r="Q16" s="484" t="s">
        <v>1049</v>
      </c>
      <c r="R16" s="484"/>
      <c r="S16" s="484"/>
      <c r="T16" s="99"/>
    </row>
    <row r="17" spans="1:20" ht="15.75" thickTop="1" x14ac:dyDescent="0.25">
      <c r="A17" s="66" t="str">
        <f>B3</f>
        <v>Ondernemer:</v>
      </c>
      <c r="B17" s="67"/>
      <c r="C17" s="68"/>
      <c r="D17" s="68"/>
      <c r="E17" s="69"/>
      <c r="I17" s="102"/>
      <c r="J17" s="485" t="s">
        <v>986</v>
      </c>
      <c r="K17" s="485"/>
      <c r="L17" s="103" t="s">
        <v>981</v>
      </c>
      <c r="M17" s="99"/>
      <c r="P17" s="102"/>
      <c r="Q17" s="485" t="s">
        <v>986</v>
      </c>
      <c r="R17" s="485"/>
      <c r="S17" s="103" t="s">
        <v>981</v>
      </c>
      <c r="T17" s="99"/>
    </row>
    <row r="18" spans="1:20" ht="15" x14ac:dyDescent="0.25">
      <c r="A18" s="70" t="s">
        <v>984</v>
      </c>
      <c r="B18" s="71">
        <f>B$13</f>
        <v>0.35820000000000002</v>
      </c>
      <c r="C18" s="72">
        <f>C$13</f>
        <v>0.37480000000000002</v>
      </c>
      <c r="D18" s="71">
        <f>D$13</f>
        <v>0.495</v>
      </c>
      <c r="E18" s="73">
        <f>E$13</f>
        <v>0</v>
      </c>
      <c r="I18" s="102"/>
      <c r="J18" s="145" t="s">
        <v>982</v>
      </c>
      <c r="K18" s="145" t="s">
        <v>983</v>
      </c>
      <c r="L18" s="145"/>
      <c r="M18" s="99"/>
      <c r="P18" s="102"/>
      <c r="Q18" s="145" t="s">
        <v>982</v>
      </c>
      <c r="R18" s="145" t="s">
        <v>983</v>
      </c>
      <c r="S18" s="145"/>
      <c r="T18" s="99"/>
    </row>
    <row r="19" spans="1:20" ht="15" x14ac:dyDescent="0.25">
      <c r="A19" s="70" t="s">
        <v>985</v>
      </c>
      <c r="B19" s="74">
        <f>B$14</f>
        <v>38441</v>
      </c>
      <c r="C19" s="74">
        <f>C$14</f>
        <v>76817</v>
      </c>
      <c r="D19" s="74">
        <f>D$14</f>
        <v>0</v>
      </c>
      <c r="E19" s="75">
        <f>E$14</f>
        <v>0</v>
      </c>
      <c r="I19" s="102"/>
      <c r="J19" s="106">
        <f t="shared" ref="J19:L22" si="0">Q19</f>
        <v>0</v>
      </c>
      <c r="K19" s="106">
        <f t="shared" si="0"/>
        <v>525</v>
      </c>
      <c r="L19" s="107">
        <f t="shared" si="0"/>
        <v>0</v>
      </c>
      <c r="M19" s="105">
        <f>IF(VRAGENLIJST!$D$333=dropdowns!$A86,'IB VPB 1'!J$2*'IB VPB 1'!L19,0)</f>
        <v>0</v>
      </c>
      <c r="P19" s="102"/>
      <c r="Q19" s="106">
        <v>0</v>
      </c>
      <c r="R19" s="106">
        <v>525</v>
      </c>
      <c r="S19" s="107">
        <v>0</v>
      </c>
      <c r="T19" s="105">
        <f>IF(VRAGENLIJST!$H$333=dropdowns!$A86,'IB VPB 1'!Q$2*'IB VPB 1'!S19,0)</f>
        <v>0</v>
      </c>
    </row>
    <row r="20" spans="1:20" ht="15" x14ac:dyDescent="0.25">
      <c r="A20" s="76" t="s">
        <v>734</v>
      </c>
      <c r="B20" s="74">
        <f>IF(B4&lt;0,0,IF(B4&lt;B19,B4,B19))</f>
        <v>0</v>
      </c>
      <c r="C20" s="74">
        <f>IF(ISBLANK(C14),IF(B4&lt;B19,0,B4-B19),IF(B4&lt;B19,0,IF(B4&lt;C19,B4-B19,C19-B19)))</f>
        <v>0</v>
      </c>
      <c r="D20" s="74">
        <f>IF(AND(ISBLANK(D14),ISBLANK(C14)),0,IF(ISBLANK(D14),IF(B4&lt;C19,0,B4-C19),IF(B4&lt;C19,0,IF(B4&lt;D19,B4-C19,D19-C19))))</f>
        <v>0</v>
      </c>
      <c r="E20" s="75">
        <f>IF(AND(ISBLANK(E14),ISBLANK(D14)),0,IF(ISBLANK(E14),IF(B4&lt;D19,0,B4-D19),IF(B4&lt;D19,0,IF(B4&lt;E19,B4-D19,E19-D19))))</f>
        <v>0</v>
      </c>
      <c r="I20" s="102"/>
      <c r="J20" s="106">
        <f t="shared" si="0"/>
        <v>525</v>
      </c>
      <c r="K20" s="106">
        <f t="shared" si="0"/>
        <v>875</v>
      </c>
      <c r="L20" s="107">
        <f t="shared" si="0"/>
        <v>1.2500000000000001E-2</v>
      </c>
      <c r="M20" s="105">
        <f>IF(VRAGENLIJST!$D$333=dropdowns!$A87,'IB VPB 1'!J$2*'IB VPB 1'!L20,0)</f>
        <v>0</v>
      </c>
      <c r="P20" s="102"/>
      <c r="Q20" s="106">
        <f>R19</f>
        <v>525</v>
      </c>
      <c r="R20" s="106">
        <v>875</v>
      </c>
      <c r="S20" s="107">
        <v>1.2500000000000001E-2</v>
      </c>
      <c r="T20" s="105">
        <f>IF(VRAGENLIJST!$H$333=dropdowns!$A87,'IB VPB 1'!Q$2*'IB VPB 1'!S20,0)</f>
        <v>0</v>
      </c>
    </row>
    <row r="21" spans="1:20" ht="15.75" thickBot="1" x14ac:dyDescent="0.3">
      <c r="A21" s="77" t="s">
        <v>980</v>
      </c>
      <c r="B21" s="161">
        <f>B18*B20</f>
        <v>0</v>
      </c>
      <c r="C21" s="161">
        <f>C18*C20</f>
        <v>0</v>
      </c>
      <c r="D21" s="161">
        <f>D18*D20</f>
        <v>0</v>
      </c>
      <c r="E21" s="162">
        <f>E18*E20</f>
        <v>0</v>
      </c>
      <c r="I21" s="102"/>
      <c r="J21" s="106">
        <f t="shared" si="0"/>
        <v>875</v>
      </c>
      <c r="K21" s="106">
        <f t="shared" si="0"/>
        <v>1225</v>
      </c>
      <c r="L21" s="107">
        <f t="shared" si="0"/>
        <v>0.02</v>
      </c>
      <c r="M21" s="105">
        <f>IF(VRAGENLIJST!$D$333=dropdowns!$A88,'IB VPB 1'!J$2*'IB VPB 1'!L21,0)</f>
        <v>0</v>
      </c>
      <c r="P21" s="102"/>
      <c r="Q21" s="106">
        <f>R20</f>
        <v>875</v>
      </c>
      <c r="R21" s="106">
        <v>1225</v>
      </c>
      <c r="S21" s="107">
        <v>0.02</v>
      </c>
      <c r="T21" s="105">
        <f>IF(VRAGENLIJST!$H$333=dropdowns!$A88,'IB VPB 1'!Q$2*'IB VPB 1'!S21,0)</f>
        <v>0</v>
      </c>
    </row>
    <row r="22" spans="1:20" ht="15.75" thickTop="1" x14ac:dyDescent="0.25">
      <c r="A22" s="66" t="str">
        <f>C3</f>
        <v/>
      </c>
      <c r="B22" s="67"/>
      <c r="C22" s="68"/>
      <c r="D22" s="68"/>
      <c r="E22" s="69"/>
      <c r="I22" s="102"/>
      <c r="J22" s="106">
        <f t="shared" si="0"/>
        <v>1225</v>
      </c>
      <c r="K22" s="106">
        <f t="shared" si="0"/>
        <v>1750</v>
      </c>
      <c r="L22" s="107">
        <f t="shared" si="0"/>
        <v>0.03</v>
      </c>
      <c r="M22" s="105">
        <f>IF(VRAGENLIJST!$D$333=dropdowns!$A89,'IB VPB 1'!J$2*'IB VPB 1'!L22,0)</f>
        <v>0</v>
      </c>
      <c r="P22" s="102"/>
      <c r="Q22" s="106">
        <f>R21</f>
        <v>1225</v>
      </c>
      <c r="R22" s="106">
        <v>1750</v>
      </c>
      <c r="S22" s="107">
        <v>0.03</v>
      </c>
      <c r="T22" s="105">
        <f>IF(VRAGENLIJST!$H$333=dropdowns!$A89,'IB VPB 1'!Q$2*'IB VPB 1'!S22,0)</f>
        <v>0</v>
      </c>
    </row>
    <row r="23" spans="1:20" ht="15" x14ac:dyDescent="0.25">
      <c r="A23" s="70" t="s">
        <v>984</v>
      </c>
      <c r="B23" s="71">
        <f>B$13</f>
        <v>0.35820000000000002</v>
      </c>
      <c r="C23" s="72">
        <f>C$13</f>
        <v>0.37480000000000002</v>
      </c>
      <c r="D23" s="71">
        <f>D$13</f>
        <v>0.495</v>
      </c>
      <c r="E23" s="73">
        <f>E$13</f>
        <v>0</v>
      </c>
      <c r="I23" s="102"/>
      <c r="J23" s="106">
        <f>Q23</f>
        <v>1750</v>
      </c>
      <c r="K23" s="106"/>
      <c r="L23" s="107">
        <f>S23</f>
        <v>0.04</v>
      </c>
      <c r="M23" s="105">
        <f>IF(VRAGENLIJST!$D$333=dropdowns!$A90,'IB VPB 1'!J$2*'IB VPB 1'!L23,0)</f>
        <v>0</v>
      </c>
      <c r="P23" s="102"/>
      <c r="Q23" s="106">
        <f>R22</f>
        <v>1750</v>
      </c>
      <c r="R23" s="106"/>
      <c r="S23" s="107">
        <v>0.04</v>
      </c>
      <c r="T23" s="105">
        <f>IF(VRAGENLIJST!$H$333=dropdowns!$A90,'IB VPB 1'!Q$2*'IB VPB 1'!S23,0)</f>
        <v>0</v>
      </c>
    </row>
    <row r="24" spans="1:20" ht="15" x14ac:dyDescent="0.25">
      <c r="A24" s="70" t="s">
        <v>985</v>
      </c>
      <c r="B24" s="74">
        <f>B$14</f>
        <v>38441</v>
      </c>
      <c r="C24" s="74">
        <f>C$14</f>
        <v>76817</v>
      </c>
      <c r="D24" s="74">
        <f>D$14</f>
        <v>0</v>
      </c>
      <c r="E24" s="75">
        <f>E14</f>
        <v>0</v>
      </c>
      <c r="I24" s="102"/>
      <c r="J24" s="99"/>
      <c r="K24" s="99"/>
      <c r="L24" s="99"/>
      <c r="M24" s="99"/>
      <c r="P24" s="102"/>
      <c r="Q24" s="99"/>
      <c r="R24" s="99"/>
      <c r="S24" s="99"/>
      <c r="T24" s="99"/>
    </row>
    <row r="25" spans="1:20" ht="15" x14ac:dyDescent="0.25">
      <c r="A25" s="76" t="s">
        <v>734</v>
      </c>
      <c r="B25" s="74">
        <f>IF(C4&lt;0,0,IF(C4&lt;B19,C4,B19))</f>
        <v>0</v>
      </c>
      <c r="C25" s="74">
        <f>IF(ISBLANK(C14),IF(C4&lt;B19,0,C4-B19),IF(C4&lt;B19,0,IF(C4&lt;C19,C4-B19,C19-B19)))</f>
        <v>0</v>
      </c>
      <c r="D25" s="74">
        <f>IF(AND(ISBLANK(D14),ISBLANK(C14)),0,IF(ISBLANK(D14),IF(C4&lt;C19,0,C4-C19),IF(C4&lt;C19,0,IF(C4&lt;D19,C4-C19,D19-C19))))</f>
        <v>0</v>
      </c>
      <c r="E25" s="75">
        <f>IF(AND(ISBLANK(E14),ISBLANK(D14)),0,IF(ISBLANK(E14),IF(C4&lt;D19,0,C4-D19),IF(C4&lt;D19,0,IF(C4&lt;E19,C4-D19,E19-D19))))</f>
        <v>0</v>
      </c>
      <c r="I25" s="101">
        <f>ROUNDUP(SUM(M28:M32),0)</f>
        <v>0</v>
      </c>
      <c r="J25" s="484" t="str">
        <f>Q25</f>
        <v>Investeringsaftrek (2023)</v>
      </c>
      <c r="K25" s="484"/>
      <c r="L25" s="484"/>
      <c r="M25" s="99"/>
      <c r="P25" s="101">
        <f>ROUNDUP(SUM(T28:T32),0)</f>
        <v>0</v>
      </c>
      <c r="Q25" s="484" t="s">
        <v>1050</v>
      </c>
      <c r="R25" s="484"/>
      <c r="S25" s="484"/>
      <c r="T25" s="99"/>
    </row>
    <row r="26" spans="1:20" ht="15.75" thickBot="1" x14ac:dyDescent="0.3">
      <c r="A26" s="77" t="s">
        <v>980</v>
      </c>
      <c r="B26" s="161">
        <f>B23*B25</f>
        <v>0</v>
      </c>
      <c r="C26" s="161">
        <f>C23*C25</f>
        <v>0</v>
      </c>
      <c r="D26" s="161">
        <f>D23*D25</f>
        <v>0</v>
      </c>
      <c r="E26" s="162">
        <f>E23*E25</f>
        <v>0</v>
      </c>
      <c r="I26" s="102"/>
      <c r="J26" s="485" t="s">
        <v>987</v>
      </c>
      <c r="K26" s="485"/>
      <c r="L26" s="103" t="s">
        <v>981</v>
      </c>
      <c r="M26" s="99"/>
      <c r="P26" s="102"/>
      <c r="Q26" s="485" t="s">
        <v>987</v>
      </c>
      <c r="R26" s="485"/>
      <c r="S26" s="103" t="s">
        <v>981</v>
      </c>
      <c r="T26" s="99"/>
    </row>
    <row r="27" spans="1:20" ht="15.75" thickTop="1" x14ac:dyDescent="0.25">
      <c r="A27" s="163"/>
      <c r="B27" s="164"/>
      <c r="C27" s="164"/>
      <c r="D27" s="164"/>
      <c r="E27" s="164"/>
      <c r="I27" s="102"/>
      <c r="J27" s="145" t="s">
        <v>982</v>
      </c>
      <c r="K27" s="145" t="s">
        <v>983</v>
      </c>
      <c r="L27" s="145"/>
      <c r="M27" s="99"/>
      <c r="P27" s="102"/>
      <c r="Q27" s="145" t="s">
        <v>982</v>
      </c>
      <c r="R27" s="145" t="s">
        <v>983</v>
      </c>
      <c r="S27" s="145"/>
      <c r="T27" s="99"/>
    </row>
    <row r="28" spans="1:20" ht="13.5" thickBot="1" x14ac:dyDescent="0.25">
      <c r="I28" s="102"/>
      <c r="J28" s="108">
        <f t="shared" ref="J28:L31" si="1">Q28</f>
        <v>0</v>
      </c>
      <c r="K28" s="108">
        <f t="shared" si="1"/>
        <v>2900</v>
      </c>
      <c r="L28" s="107">
        <f t="shared" si="1"/>
        <v>0</v>
      </c>
      <c r="M28" s="105">
        <f>IF(AND(J$3&gt;=J28,J$3&lt;K28),L28*J$3,0)</f>
        <v>0</v>
      </c>
      <c r="P28" s="102"/>
      <c r="Q28" s="108">
        <v>0</v>
      </c>
      <c r="R28" s="108">
        <v>2900</v>
      </c>
      <c r="S28" s="107">
        <v>0</v>
      </c>
      <c r="T28" s="105">
        <f>IF(AND(Q$3&gt;=Q28,Q$3&lt;R28),S28*Q$3,0)</f>
        <v>0</v>
      </c>
    </row>
    <row r="29" spans="1:20" ht="15.75" thickTop="1" x14ac:dyDescent="0.25">
      <c r="A29" s="80" t="s">
        <v>1056</v>
      </c>
      <c r="B29" s="81"/>
      <c r="C29" s="81"/>
      <c r="D29" s="81"/>
      <c r="E29" s="82"/>
      <c r="I29" s="102"/>
      <c r="J29" s="104">
        <f t="shared" si="1"/>
        <v>2900</v>
      </c>
      <c r="K29" s="104">
        <f t="shared" si="1"/>
        <v>70602</v>
      </c>
      <c r="L29" s="107">
        <f t="shared" si="1"/>
        <v>0.28000000000000003</v>
      </c>
      <c r="M29" s="105">
        <f>IF(AND(J$3&gt;=J29,J$3&lt;K29),L29*J$3,0)</f>
        <v>0</v>
      </c>
      <c r="P29" s="102"/>
      <c r="Q29" s="104">
        <f>R28</f>
        <v>2900</v>
      </c>
      <c r="R29" s="104">
        <v>70602</v>
      </c>
      <c r="S29" s="107">
        <v>0.28000000000000003</v>
      </c>
      <c r="T29" s="105">
        <f>IF(AND(Q$3&gt;=Q29,Q$3&lt;R29),S29*Q$3,0)</f>
        <v>0</v>
      </c>
    </row>
    <row r="30" spans="1:20" ht="15" x14ac:dyDescent="0.25">
      <c r="A30" s="70" t="s">
        <v>984</v>
      </c>
      <c r="B30" s="83">
        <v>0.19</v>
      </c>
      <c r="C30" s="84">
        <v>0.25800000000000001</v>
      </c>
      <c r="D30" s="83"/>
      <c r="E30" s="85"/>
      <c r="I30" s="102"/>
      <c r="J30" s="104">
        <f t="shared" si="1"/>
        <v>70602</v>
      </c>
      <c r="K30" s="104">
        <f t="shared" si="1"/>
        <v>130744</v>
      </c>
      <c r="L30" s="104">
        <f t="shared" si="1"/>
        <v>19769</v>
      </c>
      <c r="M30" s="105">
        <f>IF(AND(J$3&gt;=J30,J$3&lt;K30),L30,0)</f>
        <v>0</v>
      </c>
      <c r="P30" s="102"/>
      <c r="Q30" s="104">
        <f>R29</f>
        <v>70602</v>
      </c>
      <c r="R30" s="104">
        <v>130744</v>
      </c>
      <c r="S30" s="104">
        <v>19769</v>
      </c>
      <c r="T30" s="105">
        <f>IF(AND(Q$3&gt;=Q30,Q$3&lt;R30),S30,0)</f>
        <v>0</v>
      </c>
    </row>
    <row r="31" spans="1:20" ht="15.75" thickBot="1" x14ac:dyDescent="0.3">
      <c r="A31" s="86" t="s">
        <v>985</v>
      </c>
      <c r="B31" s="78">
        <v>200000</v>
      </c>
      <c r="C31" s="78"/>
      <c r="D31" s="78"/>
      <c r="E31" s="79"/>
      <c r="I31" s="102"/>
      <c r="J31" s="104">
        <f t="shared" si="1"/>
        <v>130744</v>
      </c>
      <c r="K31" s="104">
        <f t="shared" si="1"/>
        <v>392230</v>
      </c>
      <c r="L31" s="107">
        <f t="shared" si="1"/>
        <v>7.5600000000000001E-2</v>
      </c>
      <c r="M31" s="105">
        <f>IF(AND(J$3&gt;=J31,J$3&lt;K31),L30-((J$3-100000)*L31),0)</f>
        <v>0</v>
      </c>
      <c r="P31" s="102"/>
      <c r="Q31" s="104">
        <f>R30</f>
        <v>130744</v>
      </c>
      <c r="R31" s="104">
        <v>392230</v>
      </c>
      <c r="S31" s="107">
        <v>7.5600000000000001E-2</v>
      </c>
      <c r="T31" s="105">
        <f>IF(AND(Q$3&gt;=Q31,Q$3&lt;R31),S30-((Q$3-100000)*S31),0)</f>
        <v>0</v>
      </c>
    </row>
    <row r="32" spans="1:20" ht="14.25" thickTop="1" thickBot="1" x14ac:dyDescent="0.25">
      <c r="I32" s="102"/>
      <c r="J32" s="104">
        <f>Q32</f>
        <v>392230</v>
      </c>
      <c r="K32" s="104"/>
      <c r="L32" s="107">
        <f>S32</f>
        <v>0</v>
      </c>
      <c r="M32" s="105">
        <f>IF(J$3&gt;=J32,J$3*L32,0)</f>
        <v>0</v>
      </c>
      <c r="P32" s="102"/>
      <c r="Q32" s="104">
        <f>R31</f>
        <v>392230</v>
      </c>
      <c r="R32" s="104"/>
      <c r="S32" s="107">
        <v>0</v>
      </c>
      <c r="T32" s="105">
        <f>IF(Q$3&gt;=Q32,Q$3*S32,0)</f>
        <v>0</v>
      </c>
    </row>
    <row r="33" spans="1:21" ht="15.75" thickTop="1" x14ac:dyDescent="0.25">
      <c r="A33" s="66" t="s">
        <v>1057</v>
      </c>
      <c r="B33" s="67"/>
      <c r="C33" s="68"/>
      <c r="D33" s="68"/>
      <c r="E33" s="69"/>
      <c r="I33" s="102"/>
      <c r="J33" s="99"/>
      <c r="K33" s="99"/>
      <c r="L33" s="99"/>
      <c r="M33" s="99"/>
      <c r="P33" s="102"/>
      <c r="Q33" s="99"/>
      <c r="R33" s="99"/>
      <c r="S33" s="99"/>
      <c r="T33" s="99"/>
    </row>
    <row r="34" spans="1:21" ht="15" x14ac:dyDescent="0.25">
      <c r="A34" s="76" t="s">
        <v>734</v>
      </c>
      <c r="B34" s="74">
        <f>IF(G5&lt;0,0,IF(G5&lt;B31,G5,B31))</f>
        <v>0</v>
      </c>
      <c r="C34" s="74">
        <f>IF(ISBLANK(C31),IF(G5&lt;B31,0,G5-B31),IF(G5&lt;B31,0,IF(G5&lt;B31,G5-B31,C31-B31)))</f>
        <v>0</v>
      </c>
      <c r="D34" s="74">
        <f>IF(AND(ISBLANK(D31),ISBLANK(C31)),0,IF(ISBLANK(D31),IF(G5&lt;C31,0,G5-C31),IF(G5&lt;C31,0,IF(G5&lt;D31,G5-C31,D31-C31))))</f>
        <v>0</v>
      </c>
      <c r="E34" s="165">
        <f>IF(AND(ISBLANK(E31),ISBLANK(D31)),0,IF(ISBLANK(E31),IF(G5&lt;D31,0,G5-D31),IF(G5&lt;D31,0,IF(G5&lt;E31,G5-D31,E31-D31))))</f>
        <v>0</v>
      </c>
      <c r="I34" s="102"/>
      <c r="J34" s="484" t="str">
        <f>Q34</f>
        <v>MKB-winstvrijstelling (2023)</v>
      </c>
      <c r="K34" s="484"/>
      <c r="L34" s="484"/>
      <c r="M34" s="99"/>
      <c r="P34" s="102"/>
      <c r="Q34" s="484" t="s">
        <v>1051</v>
      </c>
      <c r="R34" s="484"/>
      <c r="S34" s="484"/>
      <c r="T34" s="99"/>
    </row>
    <row r="35" spans="1:21" ht="15.75" thickBot="1" x14ac:dyDescent="0.3">
      <c r="A35" s="77" t="s">
        <v>1057</v>
      </c>
      <c r="B35" s="161">
        <f>B34*B30</f>
        <v>0</v>
      </c>
      <c r="C35" s="161">
        <f>C34*C30</f>
        <v>0</v>
      </c>
      <c r="D35" s="161"/>
      <c r="E35" s="162"/>
      <c r="I35" s="102"/>
      <c r="J35" s="485" t="s">
        <v>988</v>
      </c>
      <c r="K35" s="485"/>
      <c r="L35" s="103" t="s">
        <v>981</v>
      </c>
      <c r="M35" s="99"/>
      <c r="P35" s="102"/>
      <c r="Q35" s="485" t="s">
        <v>988</v>
      </c>
      <c r="R35" s="485"/>
      <c r="S35" s="103" t="s">
        <v>981</v>
      </c>
      <c r="T35" s="99"/>
    </row>
    <row r="36" spans="1:21" ht="13.5" thickTop="1" x14ac:dyDescent="0.2">
      <c r="I36" s="101">
        <f>ROUNDUP(IF(J$2-I$6-I$11-I$16&lt;0,0,(J$2-I$6-I$11-I$16)*L$37),0)</f>
        <v>0</v>
      </c>
      <c r="J36" s="145" t="s">
        <v>982</v>
      </c>
      <c r="K36" s="145" t="s">
        <v>983</v>
      </c>
      <c r="L36" s="145"/>
      <c r="M36" s="99"/>
      <c r="P36" s="101">
        <f>ROUNDUP(IF(Q$2-P$6-P$11-P$16&lt;0,0,(Q$2-P$6-P$11-P$16)*S$37),0)</f>
        <v>0</v>
      </c>
      <c r="Q36" s="145" t="s">
        <v>982</v>
      </c>
      <c r="R36" s="145" t="s">
        <v>983</v>
      </c>
      <c r="S36" s="145"/>
      <c r="T36" s="99"/>
    </row>
    <row r="37" spans="1:21" x14ac:dyDescent="0.2">
      <c r="I37" s="96"/>
      <c r="J37" s="104">
        <f>Q37</f>
        <v>0</v>
      </c>
      <c r="K37" s="104"/>
      <c r="L37" s="107">
        <f>S37</f>
        <v>0.127</v>
      </c>
      <c r="M37" s="109"/>
      <c r="P37" s="96"/>
      <c r="Q37" s="104">
        <v>0</v>
      </c>
      <c r="R37" s="104"/>
      <c r="S37" s="107">
        <v>0.127</v>
      </c>
      <c r="T37" s="109"/>
    </row>
    <row r="38" spans="1:21" x14ac:dyDescent="0.2">
      <c r="I38" s="96"/>
      <c r="J38" s="89"/>
      <c r="K38" s="89"/>
      <c r="L38" s="89"/>
      <c r="M38" s="89"/>
      <c r="P38" s="96"/>
      <c r="Q38" s="89"/>
      <c r="R38" s="89"/>
      <c r="S38" s="89"/>
      <c r="T38" s="89"/>
    </row>
    <row r="39" spans="1:21" x14ac:dyDescent="0.2">
      <c r="I39" s="101">
        <f>ROUNDUP(SUM(L42:L44),0)</f>
        <v>0</v>
      </c>
      <c r="J39" s="484" t="str">
        <f>Q39</f>
        <v>Heffingskorting (2023)</v>
      </c>
      <c r="K39" s="484"/>
      <c r="L39" s="484"/>
      <c r="P39" s="101">
        <f>ROUNDUP(SUM(S42:S44),0)</f>
        <v>0</v>
      </c>
      <c r="Q39" s="484" t="s">
        <v>1053</v>
      </c>
      <c r="R39" s="484"/>
      <c r="S39" s="484"/>
      <c r="T39"/>
    </row>
    <row r="40" spans="1:21" x14ac:dyDescent="0.2">
      <c r="J40" s="485" t="s">
        <v>734</v>
      </c>
      <c r="K40" s="485"/>
      <c r="L40" s="103" t="s">
        <v>989</v>
      </c>
      <c r="Q40" s="485" t="s">
        <v>734</v>
      </c>
      <c r="R40" s="485"/>
      <c r="S40" s="103" t="s">
        <v>989</v>
      </c>
    </row>
    <row r="41" spans="1:21" x14ac:dyDescent="0.2">
      <c r="J41" s="145" t="s">
        <v>982</v>
      </c>
      <c r="K41" s="145" t="s">
        <v>983</v>
      </c>
      <c r="L41" s="145"/>
      <c r="Q41" s="145" t="s">
        <v>982</v>
      </c>
      <c r="R41" s="145" t="s">
        <v>983</v>
      </c>
      <c r="S41" s="145"/>
    </row>
    <row r="42" spans="1:21" x14ac:dyDescent="0.2">
      <c r="J42" s="108">
        <f>Q42</f>
        <v>0</v>
      </c>
      <c r="K42" s="108">
        <f>R42</f>
        <v>28406</v>
      </c>
      <c r="L42" s="104">
        <f>IF(AND($C$4&gt;J42,$C$4&lt;K42),M42,0)</f>
        <v>0</v>
      </c>
      <c r="M42" s="105">
        <f t="shared" ref="M42:N44" si="2">T42</f>
        <v>3068</v>
      </c>
      <c r="N42" s="88">
        <f t="shared" si="2"/>
        <v>0</v>
      </c>
      <c r="Q42" s="108">
        <v>0</v>
      </c>
      <c r="R42" s="108">
        <v>28406</v>
      </c>
      <c r="S42" s="104">
        <f>IF(AND($C$4&gt;Q42,$C$4&lt;R42),T42,0)</f>
        <v>0</v>
      </c>
      <c r="T42" s="105">
        <v>3068</v>
      </c>
      <c r="U42" s="88"/>
    </row>
    <row r="43" spans="1:21" x14ac:dyDescent="0.2">
      <c r="J43" s="104">
        <f>Q43</f>
        <v>28406</v>
      </c>
      <c r="K43" s="104">
        <f>R43</f>
        <v>76817</v>
      </c>
      <c r="L43" s="104">
        <f>IF(AND($C$4&gt;=J43,$C$4&lt;K43),M43-N43*($C$4-J43),0)</f>
        <v>0</v>
      </c>
      <c r="M43" s="105">
        <f t="shared" si="2"/>
        <v>3068</v>
      </c>
      <c r="N43" s="88">
        <f t="shared" si="2"/>
        <v>6.3369999999999996E-2</v>
      </c>
      <c r="Q43" s="104">
        <f>R42</f>
        <v>28406</v>
      </c>
      <c r="R43" s="104">
        <v>76817</v>
      </c>
      <c r="S43" s="104">
        <f>IF(AND($B$4&gt;=Q43,$B$4&lt;R43),T43-U43*($B$4-Q43),0)</f>
        <v>0</v>
      </c>
      <c r="T43" s="105">
        <v>3068</v>
      </c>
      <c r="U43" s="88">
        <v>6.3369999999999996E-2</v>
      </c>
    </row>
    <row r="44" spans="1:21" x14ac:dyDescent="0.2">
      <c r="J44" s="104">
        <f>Q44</f>
        <v>76817</v>
      </c>
      <c r="K44" s="104"/>
      <c r="L44" s="104">
        <f>IF($C$4&gt;=J44,M44,0)</f>
        <v>0</v>
      </c>
      <c r="M44" s="105">
        <f t="shared" si="2"/>
        <v>0</v>
      </c>
      <c r="N44" s="88">
        <f t="shared" si="2"/>
        <v>0</v>
      </c>
      <c r="Q44" s="104">
        <f>R43</f>
        <v>76817</v>
      </c>
      <c r="R44" s="104"/>
      <c r="S44" s="104">
        <f>IF($B$4&gt;=Q44,T44,0)</f>
        <v>0</v>
      </c>
      <c r="T44" s="105">
        <v>0</v>
      </c>
      <c r="U44" s="88"/>
    </row>
    <row r="45" spans="1:21" x14ac:dyDescent="0.2">
      <c r="J45" s="88"/>
      <c r="K45" s="88"/>
      <c r="L45" s="88"/>
      <c r="Q45" s="88"/>
      <c r="R45" s="88"/>
      <c r="S45" s="88"/>
    </row>
    <row r="46" spans="1:21" x14ac:dyDescent="0.2">
      <c r="I46" s="101">
        <f>ROUNDUP(SUM(L49:L53),0)</f>
        <v>0</v>
      </c>
      <c r="J46" s="484" t="str">
        <f>Q46</f>
        <v>Arbeidskorting (2023)</v>
      </c>
      <c r="K46" s="484"/>
      <c r="L46" s="484"/>
      <c r="P46" s="101">
        <f>ROUNDUP(SUM(S49:S53),0)</f>
        <v>0</v>
      </c>
      <c r="Q46" s="484" t="s">
        <v>1054</v>
      </c>
      <c r="R46" s="484"/>
      <c r="S46" s="484"/>
      <c r="T46"/>
    </row>
    <row r="47" spans="1:21" x14ac:dyDescent="0.2">
      <c r="J47" s="485" t="s">
        <v>734</v>
      </c>
      <c r="K47" s="485"/>
      <c r="L47" s="103" t="s">
        <v>989</v>
      </c>
      <c r="Q47" s="485" t="s">
        <v>734</v>
      </c>
      <c r="R47" s="485"/>
      <c r="S47" s="103" t="s">
        <v>989</v>
      </c>
    </row>
    <row r="48" spans="1:21" x14ac:dyDescent="0.2">
      <c r="J48" s="145" t="s">
        <v>982</v>
      </c>
      <c r="K48" s="145" t="s">
        <v>983</v>
      </c>
      <c r="L48" s="145"/>
      <c r="Q48" s="145" t="s">
        <v>982</v>
      </c>
      <c r="R48" s="145" t="s">
        <v>983</v>
      </c>
      <c r="S48" s="145"/>
    </row>
    <row r="49" spans="9:21" x14ac:dyDescent="0.2">
      <c r="J49" s="108">
        <f t="shared" ref="J49:K52" si="3">Q49</f>
        <v>0</v>
      </c>
      <c r="K49" s="108">
        <f t="shared" si="3"/>
        <v>12169</v>
      </c>
      <c r="L49" s="104">
        <f>IF(AND(J2&gt;J49,J2&lt;K49),N49*J2,0)</f>
        <v>0</v>
      </c>
      <c r="M49" s="105">
        <f t="shared" ref="M49:N53" si="4">T49</f>
        <v>0</v>
      </c>
      <c r="N49" s="88">
        <f t="shared" si="4"/>
        <v>8.0530000000000004E-2</v>
      </c>
      <c r="Q49" s="108">
        <v>0</v>
      </c>
      <c r="R49" s="108">
        <v>12169</v>
      </c>
      <c r="S49" s="104">
        <f>IF(AND(Q2&gt;Q49,Q2&lt;R49),U49*Q2,0)</f>
        <v>0</v>
      </c>
      <c r="T49" s="105"/>
      <c r="U49" s="88">
        <v>8.0530000000000004E-2</v>
      </c>
    </row>
    <row r="50" spans="9:21" x14ac:dyDescent="0.2">
      <c r="J50" s="104">
        <f t="shared" si="3"/>
        <v>12169</v>
      </c>
      <c r="K50" s="104">
        <f t="shared" si="3"/>
        <v>26288</v>
      </c>
      <c r="L50" s="104">
        <f>IF(AND(J2&gt;=J50,J2&lt;K50),M50+N50*(J2-J50),0)</f>
        <v>0</v>
      </c>
      <c r="M50" s="105">
        <f t="shared" si="4"/>
        <v>980</v>
      </c>
      <c r="N50" s="88">
        <f t="shared" si="4"/>
        <v>0.30030000000000001</v>
      </c>
      <c r="Q50" s="104">
        <f>R49</f>
        <v>12169</v>
      </c>
      <c r="R50" s="104">
        <v>26288</v>
      </c>
      <c r="S50" s="104">
        <f>IF(AND(Q2&gt;=Q50,Q2&lt;R50),T50+U50*(Q2-Q50),0)</f>
        <v>0</v>
      </c>
      <c r="T50" s="105">
        <v>980</v>
      </c>
      <c r="U50" s="88">
        <v>0.30030000000000001</v>
      </c>
    </row>
    <row r="51" spans="9:21" x14ac:dyDescent="0.2">
      <c r="J51" s="104">
        <f t="shared" si="3"/>
        <v>26288</v>
      </c>
      <c r="K51" s="104">
        <f t="shared" si="3"/>
        <v>43071</v>
      </c>
      <c r="L51" s="104">
        <f>IF(AND(J2&gt;=J51,J2&lt;K51),M51,0)</f>
        <v>0</v>
      </c>
      <c r="M51" s="105">
        <f t="shared" si="4"/>
        <v>5220</v>
      </c>
      <c r="N51" s="88">
        <f t="shared" si="4"/>
        <v>2.2579999999999999E-2</v>
      </c>
      <c r="Q51" s="104">
        <f>R50</f>
        <v>26288</v>
      </c>
      <c r="R51" s="104">
        <v>43071</v>
      </c>
      <c r="S51" s="104">
        <f>IF(AND(Q2&gt;=Q51,Q2&lt;R51),T51+U51*(Q2-Q51),0)</f>
        <v>0</v>
      </c>
      <c r="T51" s="105">
        <v>5220</v>
      </c>
      <c r="U51" s="88">
        <v>2.2579999999999999E-2</v>
      </c>
    </row>
    <row r="52" spans="9:21" x14ac:dyDescent="0.2">
      <c r="J52" s="104">
        <f t="shared" si="3"/>
        <v>43071</v>
      </c>
      <c r="K52" s="104">
        <f t="shared" si="3"/>
        <v>129078</v>
      </c>
      <c r="L52" s="104">
        <f>IF(AND(J2&gt;=J52,J2&lt;K52),M52-N52*(J2-J52),0)</f>
        <v>0</v>
      </c>
      <c r="M52" s="105">
        <f t="shared" si="4"/>
        <v>5599</v>
      </c>
      <c r="N52" s="88">
        <f t="shared" si="4"/>
        <v>6.5100000000000005E-2</v>
      </c>
      <c r="Q52" s="104">
        <f>R51</f>
        <v>43071</v>
      </c>
      <c r="R52" s="104">
        <v>129078</v>
      </c>
      <c r="S52" s="104">
        <f>IF(AND(Q2&gt;=Q52,Q2&lt;R52),T52-U52*(Q2-Q52),0)</f>
        <v>0</v>
      </c>
      <c r="T52" s="105">
        <v>5599</v>
      </c>
      <c r="U52" s="88">
        <v>6.5100000000000005E-2</v>
      </c>
    </row>
    <row r="53" spans="9:21" x14ac:dyDescent="0.2">
      <c r="J53" s="104">
        <f>Q53</f>
        <v>129078</v>
      </c>
      <c r="K53" s="104"/>
      <c r="L53" s="104">
        <f>IF(J2&gt;=J53,M53,0)</f>
        <v>0</v>
      </c>
      <c r="M53" s="105">
        <f t="shared" si="4"/>
        <v>0</v>
      </c>
      <c r="N53" s="88">
        <f t="shared" si="4"/>
        <v>0</v>
      </c>
      <c r="Q53" s="104">
        <f>R52</f>
        <v>129078</v>
      </c>
      <c r="R53" s="104"/>
      <c r="S53" s="104">
        <f>IF(Q2&gt;=Q53,T53,0)</f>
        <v>0</v>
      </c>
      <c r="T53" s="105">
        <v>0</v>
      </c>
      <c r="U53" s="88"/>
    </row>
    <row r="55" spans="9:21" x14ac:dyDescent="0.2">
      <c r="I55" s="101">
        <f>ROUNDDOWN(SUM(M58:M59),0)</f>
        <v>0</v>
      </c>
      <c r="J55" s="484" t="str">
        <f>Q55</f>
        <v>Inkomensafhankelijke bijdrage Zvw</v>
      </c>
      <c r="K55" s="484"/>
      <c r="L55" s="484"/>
      <c r="P55" s="101">
        <f>ROUNDDOWN(SUM(T58:T59),0)</f>
        <v>0</v>
      </c>
      <c r="Q55" s="484" t="s">
        <v>1084</v>
      </c>
      <c r="R55" s="484"/>
      <c r="S55" s="484"/>
    </row>
    <row r="56" spans="9:21" x14ac:dyDescent="0.2">
      <c r="J56" s="485" t="str">
        <f>Q56</f>
        <v>Belastbaar inkomen</v>
      </c>
      <c r="K56" s="485"/>
      <c r="L56" s="103" t="str">
        <f>S56</f>
        <v>Bijdrage</v>
      </c>
      <c r="Q56" s="485" t="s">
        <v>734</v>
      </c>
      <c r="R56" s="485"/>
      <c r="S56" s="103" t="s">
        <v>1085</v>
      </c>
    </row>
    <row r="57" spans="9:21" x14ac:dyDescent="0.2">
      <c r="J57" s="145" t="str">
        <f>Q57</f>
        <v>van</v>
      </c>
      <c r="K57" s="145" t="str">
        <f>R57</f>
        <v>tot</v>
      </c>
      <c r="L57" s="145"/>
      <c r="Q57" s="145" t="s">
        <v>982</v>
      </c>
      <c r="R57" s="145" t="s">
        <v>983</v>
      </c>
      <c r="S57" s="145"/>
    </row>
    <row r="58" spans="9:21" x14ac:dyDescent="0.2">
      <c r="J58" s="108">
        <f>Q58</f>
        <v>0</v>
      </c>
      <c r="K58" s="108">
        <f>R58</f>
        <v>75860</v>
      </c>
      <c r="L58" s="169">
        <f>S58</f>
        <v>5.2600000000000001E-2</v>
      </c>
      <c r="M58" s="105">
        <f>IF(AND(C4&gt;=J58,C4&lt;K58),L58*C4,IF(C4&gt;K58,K58*L58,0))</f>
        <v>0</v>
      </c>
      <c r="N58" s="166"/>
      <c r="Q58" s="108">
        <v>0</v>
      </c>
      <c r="R58" s="108">
        <v>75860</v>
      </c>
      <c r="S58" s="168">
        <v>5.2600000000000001E-2</v>
      </c>
      <c r="T58" s="105">
        <f>IF(AND(B4&gt;=Q58,B4&lt;R58),S58*B4,IF(B4&gt;R58,R58*S58,0))</f>
        <v>0</v>
      </c>
    </row>
    <row r="59" spans="9:21" x14ac:dyDescent="0.2">
      <c r="J59" s="108">
        <f>Q59</f>
        <v>75860</v>
      </c>
      <c r="K59" s="108">
        <f>R59</f>
        <v>0</v>
      </c>
      <c r="L59" s="169">
        <f>S59</f>
        <v>0</v>
      </c>
      <c r="M59" s="105">
        <f>IF(J$2&gt;=J59,J$2*L59,0)</f>
        <v>0</v>
      </c>
      <c r="Q59" s="108">
        <f>R58</f>
        <v>75860</v>
      </c>
      <c r="R59" s="108"/>
      <c r="S59" s="168">
        <v>0</v>
      </c>
      <c r="T59" s="105">
        <f>IF(Q$2&gt;=Q59,Q$2*S59,0)</f>
        <v>0</v>
      </c>
    </row>
    <row r="61" spans="9:21" x14ac:dyDescent="0.2">
      <c r="I61" s="101">
        <f>ROUNDDOWN(IF(J2&gt;C14,MIN(J2-C14,J4),0)*L64,0)</f>
        <v>0</v>
      </c>
      <c r="J61" s="484" t="str">
        <f>Q61</f>
        <v>Tariefsaanpassing aftrekposten</v>
      </c>
      <c r="K61" s="484"/>
      <c r="L61" s="484"/>
      <c r="O61" s="167"/>
      <c r="P61" s="101">
        <f>ROUNDDOWN(IF(Q2&gt;C14,MIN(Q2-C14,Q4),0)*S64,0)</f>
        <v>0</v>
      </c>
      <c r="Q61" s="484" t="s">
        <v>1087</v>
      </c>
      <c r="R61" s="484"/>
      <c r="S61" s="484"/>
    </row>
    <row r="62" spans="9:21" x14ac:dyDescent="0.2">
      <c r="J62" s="485" t="str">
        <f>Q62</f>
        <v>Belastbaar inkomen</v>
      </c>
      <c r="K62" s="485"/>
      <c r="L62" s="103" t="str">
        <f>S62</f>
        <v>Aftrek</v>
      </c>
      <c r="Q62" s="485" t="s">
        <v>734</v>
      </c>
      <c r="R62" s="485"/>
      <c r="S62" s="103" t="s">
        <v>981</v>
      </c>
    </row>
    <row r="63" spans="9:21" x14ac:dyDescent="0.2">
      <c r="J63" s="145" t="str">
        <f>Q63</f>
        <v>van</v>
      </c>
      <c r="K63" s="145" t="str">
        <f>R63</f>
        <v>tot</v>
      </c>
      <c r="L63" s="145"/>
      <c r="Q63" s="145" t="s">
        <v>982</v>
      </c>
      <c r="R63" s="145" t="s">
        <v>983</v>
      </c>
      <c r="S63" s="145"/>
    </row>
    <row r="64" spans="9:21" x14ac:dyDescent="0.2">
      <c r="J64" s="108">
        <f>Q64</f>
        <v>0</v>
      </c>
      <c r="K64" s="108">
        <f>R64</f>
        <v>0</v>
      </c>
      <c r="L64" s="169">
        <f>S64</f>
        <v>0.1202</v>
      </c>
      <c r="Q64" s="108">
        <v>0</v>
      </c>
      <c r="R64" s="108"/>
      <c r="S64" s="168">
        <v>0.1202</v>
      </c>
      <c r="T64" s="166"/>
    </row>
  </sheetData>
  <sheetProtection algorithmName="SHA-512" hashValue="upJIMSmPAPRuOOfWY4bUzI+A5iPzCCzzY1Bu4vRElUU3HYoAsOzEUY4f46+AugUaR0nBM6EnSDX4ibb3CBDb2Q==" saltValue="D6AB34iQmD72rokpUaThBQ==" spinCount="100000" sheet="1" objects="1" scenarios="1"/>
  <mergeCells count="36">
    <mergeCell ref="Q61:S61"/>
    <mergeCell ref="Q62:R62"/>
    <mergeCell ref="J61:L61"/>
    <mergeCell ref="J62:K62"/>
    <mergeCell ref="J55:L55"/>
    <mergeCell ref="J56:K56"/>
    <mergeCell ref="Q55:S55"/>
    <mergeCell ref="Q56:R56"/>
    <mergeCell ref="J47:K47"/>
    <mergeCell ref="J39:L39"/>
    <mergeCell ref="J40:K40"/>
    <mergeCell ref="J46:L46"/>
    <mergeCell ref="J17:K17"/>
    <mergeCell ref="J25:L25"/>
    <mergeCell ref="J26:K26"/>
    <mergeCell ref="J34:L34"/>
    <mergeCell ref="J35:K35"/>
    <mergeCell ref="J6:L6"/>
    <mergeCell ref="J7:K7"/>
    <mergeCell ref="J11:L11"/>
    <mergeCell ref="J12:K12"/>
    <mergeCell ref="J16:L16"/>
    <mergeCell ref="Q17:R17"/>
    <mergeCell ref="Q39:S39"/>
    <mergeCell ref="Q40:R40"/>
    <mergeCell ref="Q46:S46"/>
    <mergeCell ref="Q47:R47"/>
    <mergeCell ref="Q25:S25"/>
    <mergeCell ref="Q26:R26"/>
    <mergeCell ref="Q34:S34"/>
    <mergeCell ref="Q35:R35"/>
    <mergeCell ref="Q6:S6"/>
    <mergeCell ref="Q7:R7"/>
    <mergeCell ref="Q11:S11"/>
    <mergeCell ref="Q12:R12"/>
    <mergeCell ref="Q16:S16"/>
  </mergeCells>
  <pageMargins left="0.7" right="0.7" top="0.75" bottom="0.75" header="0.51180555555555551" footer="0.51180555555555551"/>
  <pageSetup firstPageNumber="0" orientation="portrait"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5B8E9-FA09-4004-8E98-4898FD16D0D5}">
  <dimension ref="A1:U64"/>
  <sheetViews>
    <sheetView topLeftCell="B1" zoomScaleNormal="100" workbookViewId="0">
      <selection activeCell="S10" sqref="S10"/>
    </sheetView>
  </sheetViews>
  <sheetFormatPr defaultRowHeight="12.75" x14ac:dyDescent="0.2"/>
  <cols>
    <col min="1" max="1" width="20.85546875" style="27" customWidth="1"/>
    <col min="2" max="3" width="16.7109375" style="27" bestFit="1" customWidth="1"/>
    <col min="4" max="4" width="12" style="27" customWidth="1"/>
    <col min="5" max="5" width="11.7109375" style="27" bestFit="1" customWidth="1"/>
    <col min="6" max="7" width="20.28515625" style="27" bestFit="1" customWidth="1"/>
    <col min="8" max="8" width="9.140625" style="27"/>
    <col min="9" max="9" width="19.5703125" style="27" customWidth="1"/>
    <col min="10" max="10" width="15.42578125" style="27" bestFit="1" customWidth="1"/>
    <col min="11" max="11" width="12.140625" style="27" customWidth="1"/>
    <col min="12" max="12" width="7.85546875" style="27" customWidth="1"/>
    <col min="13" max="13" width="11" style="27" customWidth="1"/>
    <col min="14" max="14" width="10.28515625" style="27" customWidth="1"/>
    <col min="15" max="15" width="19.42578125" style="27" bestFit="1" customWidth="1"/>
    <col min="16" max="17" width="15.42578125" style="27" bestFit="1" customWidth="1"/>
    <col min="18" max="18" width="9.140625" style="27"/>
    <col min="19" max="20" width="10.28515625" style="27" bestFit="1" customWidth="1"/>
    <col min="21" max="16384" width="9.140625" style="27"/>
  </cols>
  <sheetData>
    <row r="1" spans="1:20" ht="24" thickTop="1" x14ac:dyDescent="0.35">
      <c r="A1" s="87" t="s">
        <v>1055</v>
      </c>
      <c r="B1" s="88"/>
      <c r="C1" s="88"/>
      <c r="D1" s="88"/>
      <c r="E1" s="88"/>
      <c r="F1" s="95" t="s">
        <v>976</v>
      </c>
      <c r="G1" s="96"/>
      <c r="J1" s="81" t="str">
        <f>VRAGENLIJST!$D$10</f>
        <v/>
      </c>
      <c r="Q1" s="81" t="str">
        <f>VRAGENLIJST!$H$10</f>
        <v>Ondernemer:</v>
      </c>
      <c r="R1" s="89"/>
      <c r="S1" s="89"/>
      <c r="T1" s="89"/>
    </row>
    <row r="2" spans="1:20" ht="13.5" thickBot="1" x14ac:dyDescent="0.25">
      <c r="A2" s="89" t="s">
        <v>977</v>
      </c>
      <c r="B2" s="90">
        <v>45162</v>
      </c>
      <c r="C2" s="88"/>
      <c r="D2" s="88"/>
      <c r="E2" s="88"/>
      <c r="F2" s="97" t="s">
        <v>724</v>
      </c>
      <c r="G2" s="98">
        <f>Exploitatie!D35</f>
        <v>0</v>
      </c>
      <c r="I2" s="97" t="s">
        <v>724</v>
      </c>
      <c r="J2" s="98">
        <f>IF(VRAGENLIJST!$D$4="B.V.",0,IF($J$1="",0,G2*VRAGENLIJST!$D$11))</f>
        <v>0</v>
      </c>
      <c r="P2" s="97" t="s">
        <v>978</v>
      </c>
      <c r="Q2" s="98">
        <f>IF(OR(VRAGENLIJST!$D$4=dropdowns!B6,VRAGENLIJST!D4=dropdowns!C6),0,IF(OR($Q$1=Vertaling!B41,Q1=Vertaling!C41),G2,G2*VRAGENLIJST!$H$11))</f>
        <v>0</v>
      </c>
      <c r="R2" s="99"/>
      <c r="S2" s="99"/>
      <c r="T2" s="99"/>
    </row>
    <row r="3" spans="1:20" ht="15.75" thickTop="1" x14ac:dyDescent="0.25">
      <c r="A3" s="80" t="s">
        <v>663</v>
      </c>
      <c r="B3" s="81" t="str">
        <f>VRAGENLIJST!$H$10</f>
        <v>Ondernemer:</v>
      </c>
      <c r="C3" s="81" t="str">
        <f>VRAGENLIJST!$D$10</f>
        <v/>
      </c>
      <c r="D3" s="88"/>
      <c r="F3" s="97" t="s">
        <v>979</v>
      </c>
      <c r="G3" s="98">
        <f>IF('Investering &amp; Financiering'!E6&gt;G4,'Investering &amp; Financiering'!E6)+IF('Investering &amp; Financiering'!E7&gt;G4,'Investering &amp; Financiering'!E7)+IF('Investering &amp; Financiering'!E8&gt;G4,'Investering &amp; Financiering'!E8)</f>
        <v>0</v>
      </c>
      <c r="I3" s="97" t="s">
        <v>979</v>
      </c>
      <c r="J3" s="98">
        <f>IF($J$1="",0,G3*VRAGENLIJST!$D$11)</f>
        <v>0</v>
      </c>
      <c r="P3" s="97" t="s">
        <v>979</v>
      </c>
      <c r="Q3" s="98">
        <f>IF($Q$1="Ondernemer:",G3,G3*VRAGENLIJST!$H$11)</f>
        <v>0</v>
      </c>
      <c r="S3" s="99"/>
      <c r="T3" s="99"/>
    </row>
    <row r="4" spans="1:20" ht="15" x14ac:dyDescent="0.25">
      <c r="A4" s="91" t="s">
        <v>734</v>
      </c>
      <c r="B4" s="92">
        <f>IF(Q2-Q4&lt;0,0,(Q2-Q4))</f>
        <v>0</v>
      </c>
      <c r="C4" s="92">
        <f>IF(J2-J4&lt;0,0,(J2-J4))</f>
        <v>0</v>
      </c>
      <c r="D4" s="88"/>
      <c r="E4" s="64"/>
      <c r="F4" s="99" t="s">
        <v>1046</v>
      </c>
      <c r="G4" s="98">
        <v>450</v>
      </c>
      <c r="I4" s="97" t="s">
        <v>730</v>
      </c>
      <c r="J4" s="98">
        <f>'IB VPB 2'!I6+'IB VPB 2'!I11+'IB VPB 2'!I16+'IB VPB 2'!I25+'IB VPB 2'!I36</f>
        <v>0</v>
      </c>
      <c r="P4" s="97" t="s">
        <v>730</v>
      </c>
      <c r="Q4" s="98">
        <f>'IB VPB 2'!P6+'IB VPB 2'!P11+'IB VPB 2'!P16+'IB VPB 2'!P25+'IB VPB 2'!P36</f>
        <v>0</v>
      </c>
      <c r="R4" s="89"/>
      <c r="S4" s="105"/>
      <c r="T4" s="99"/>
    </row>
    <row r="5" spans="1:20" ht="15" x14ac:dyDescent="0.25">
      <c r="A5" s="111" t="s">
        <v>738</v>
      </c>
      <c r="B5" s="113">
        <f>ROUNDDOWN(SUM(B21:E21),0)</f>
        <v>0</v>
      </c>
      <c r="C5" s="113">
        <f>ROUNDDOWN(SUM(B26:E26),0)</f>
        <v>0</v>
      </c>
      <c r="D5" s="88"/>
      <c r="E5" s="64"/>
      <c r="F5" s="97" t="s">
        <v>1058</v>
      </c>
      <c r="G5" s="98">
        <f>G2-J4-Q4</f>
        <v>0</v>
      </c>
      <c r="P5" s="89"/>
      <c r="Q5" s="100"/>
      <c r="R5" s="99"/>
      <c r="S5" s="99"/>
      <c r="T5" s="99"/>
    </row>
    <row r="6" spans="1:20" ht="21" x14ac:dyDescent="0.55000000000000004">
      <c r="A6" s="112" t="s">
        <v>1089</v>
      </c>
      <c r="B6" s="74">
        <f>IF(P39+P46&lt;0,0,P39+P46)</f>
        <v>0</v>
      </c>
      <c r="C6" s="74">
        <f>IF(I39+I46&lt;0,0,I39+I46)</f>
        <v>0</v>
      </c>
      <c r="D6" s="88"/>
      <c r="E6" s="142"/>
      <c r="I6" s="101">
        <f>IF(J$2&lt;=0,0,IF(OR(VRAGENLIJST!$D$329=dropdowns!$B$24,VRAGENLIJST!$D$329=dropdowns!$C$24,VRAGENLIJST!$D$329=dropdowns!$D$24,VRAGENLIJST!$D$329=dropdowns!$E$24),L9,0))</f>
        <v>0</v>
      </c>
      <c r="J6" s="484" t="str">
        <f>Q6</f>
        <v>Zelfstandigenaftrek (2023)</v>
      </c>
      <c r="K6" s="484"/>
      <c r="L6" s="484"/>
      <c r="M6" s="99"/>
      <c r="P6" s="101">
        <f>IF(Q$2&lt;=0,0,IF(OR(VRAGENLIJST!$H$329=dropdowns!$B$24,VRAGENLIJST!$H$329=dropdowns!$C$24,VRAGENLIJST!$H$329=dropdowns!$D$24,VRAGENLIJST!$H$329=dropdowns!$E$24),S9,0))</f>
        <v>0</v>
      </c>
      <c r="Q6" s="484" t="s">
        <v>1047</v>
      </c>
      <c r="R6" s="484"/>
      <c r="S6" s="484"/>
    </row>
    <row r="7" spans="1:20" ht="21" x14ac:dyDescent="0.55000000000000004">
      <c r="A7" s="112" t="s">
        <v>1088</v>
      </c>
      <c r="B7" s="74">
        <f>IF(P61&lt;0,0,P61)</f>
        <v>0</v>
      </c>
      <c r="C7" s="74">
        <f>IF(I61&lt;0,0,I61)</f>
        <v>0</v>
      </c>
      <c r="D7" s="88"/>
      <c r="E7" s="142"/>
      <c r="J7" s="485" t="s">
        <v>724</v>
      </c>
      <c r="K7" s="485"/>
      <c r="L7" s="103" t="s">
        <v>981</v>
      </c>
      <c r="M7" s="99"/>
      <c r="Q7" s="485" t="s">
        <v>724</v>
      </c>
      <c r="R7" s="485"/>
      <c r="S7" s="103" t="s">
        <v>981</v>
      </c>
      <c r="T7" s="99"/>
    </row>
    <row r="8" spans="1:20" ht="21" x14ac:dyDescent="0.55000000000000004">
      <c r="A8" s="112" t="s">
        <v>1086</v>
      </c>
      <c r="B8" s="74">
        <f>IF(P55&lt;0,0,P55)</f>
        <v>0</v>
      </c>
      <c r="C8" s="74">
        <f>IF(I55&lt;0,0,I55)</f>
        <v>0</v>
      </c>
      <c r="D8" s="88"/>
      <c r="E8" s="142"/>
      <c r="I8" s="102"/>
      <c r="J8" s="145" t="s">
        <v>982</v>
      </c>
      <c r="K8" s="145" t="s">
        <v>983</v>
      </c>
      <c r="L8" s="145"/>
      <c r="M8" s="99"/>
      <c r="P8" s="102"/>
      <c r="Q8" s="145" t="s">
        <v>982</v>
      </c>
      <c r="R8" s="145" t="s">
        <v>983</v>
      </c>
      <c r="S8" s="145"/>
      <c r="T8" s="99"/>
    </row>
    <row r="9" spans="1:20" ht="21" x14ac:dyDescent="0.55000000000000004">
      <c r="A9" s="112" t="s">
        <v>1057</v>
      </c>
      <c r="B9" s="74">
        <f>IF(OR(VRAGENLIJST!D4=dropdowns!$B$6,VRAGENLIJST!D4=dropdowns!$C$6,VRAGENLIJST!D4=dropdowns!$D$6,VRAGENLIJST!D4=dropdowns!$E$6),SUM(B35:E35),0)</f>
        <v>0</v>
      </c>
      <c r="C9" s="74">
        <f>IF(OR(VRAGENLIJST!D4=dropdowns!$B$6,VRAGENLIJST!D4=dropdowns!$C$6,VRAGENLIJST!D4=dropdowns!$D$6,VRAGENLIJST!D4=dropdowns!$E$6),SUM(B35:E35),0)</f>
        <v>0</v>
      </c>
      <c r="D9" s="88"/>
      <c r="E9" s="142"/>
      <c r="I9" s="102"/>
      <c r="J9" s="104">
        <f>Q9</f>
        <v>0</v>
      </c>
      <c r="K9" s="104"/>
      <c r="L9" s="104">
        <f>S9</f>
        <v>1200</v>
      </c>
      <c r="M9" s="105"/>
      <c r="P9" s="102"/>
      <c r="Q9" s="104">
        <v>0</v>
      </c>
      <c r="R9" s="104"/>
      <c r="S9" s="104">
        <v>1200</v>
      </c>
      <c r="T9" s="105"/>
    </row>
    <row r="10" spans="1:20" ht="15.75" thickBot="1" x14ac:dyDescent="0.3">
      <c r="A10" s="93" t="s">
        <v>980</v>
      </c>
      <c r="B10" s="114">
        <f>IF(B5-B6+B7+B8&lt;0,0,B5-B6+B7+B8)</f>
        <v>0</v>
      </c>
      <c r="C10" s="114">
        <f>IF(C5-C6+C7+C8&lt;0,0,C5-C6+C7+C8)</f>
        <v>0</v>
      </c>
      <c r="D10" s="88"/>
      <c r="E10" s="64"/>
      <c r="I10" s="102"/>
      <c r="J10" s="99"/>
      <c r="K10" s="99"/>
      <c r="L10" s="99"/>
      <c r="M10" s="99"/>
      <c r="P10" s="102"/>
      <c r="Q10" s="99"/>
      <c r="R10" s="99"/>
      <c r="S10" s="99"/>
      <c r="T10" s="99"/>
    </row>
    <row r="11" spans="1:20" ht="16.5" thickTop="1" thickBot="1" x14ac:dyDescent="0.3">
      <c r="A11" s="64"/>
      <c r="B11" s="115" t="e">
        <f>B10/Q2</f>
        <v>#DIV/0!</v>
      </c>
      <c r="C11" s="115" t="e">
        <f>C10/J2</f>
        <v>#DIV/0!</v>
      </c>
      <c r="D11" s="64"/>
      <c r="E11" s="64"/>
      <c r="I11" s="101">
        <f>IF(J$2&lt;=0,0,IF(OR(VRAGENLIJST!$D$331=dropdowns!$B$24,VRAGENLIJST!$D$331=dropdowns!$C$24,VRAGENLIJST!$D$331=dropdowns!$D$24,VRAGENLIJST!$D$331=dropdowns!$E$24),L14,0))</f>
        <v>0</v>
      </c>
      <c r="J11" s="484" t="str">
        <f>Q11</f>
        <v>Startersaftrek (2023)</v>
      </c>
      <c r="K11" s="484"/>
      <c r="L11" s="484"/>
      <c r="M11" s="99"/>
      <c r="P11" s="101">
        <f>IF(Q$2&lt;=0,0,IF(OR(VRAGENLIJST!$H$331=dropdowns!$B$24,VRAGENLIJST!$H$331=dropdowns!$C$24,VRAGENLIJST!$H$331=dropdowns!$D$24,VRAGENLIJST!$H$331=dropdowns!$E$24),S14,0))</f>
        <v>0</v>
      </c>
      <c r="Q11" s="484" t="s">
        <v>1048</v>
      </c>
      <c r="R11" s="484"/>
      <c r="S11" s="484"/>
      <c r="T11" s="99"/>
    </row>
    <row r="12" spans="1:20" ht="15.75" thickTop="1" x14ac:dyDescent="0.25">
      <c r="A12" s="80" t="s">
        <v>1052</v>
      </c>
      <c r="B12" s="81"/>
      <c r="C12" s="81"/>
      <c r="D12" s="81"/>
      <c r="E12" s="82"/>
      <c r="I12" s="102"/>
      <c r="J12" s="485" t="s">
        <v>724</v>
      </c>
      <c r="K12" s="485"/>
      <c r="L12" s="103" t="s">
        <v>981</v>
      </c>
      <c r="M12" s="99"/>
      <c r="P12" s="102"/>
      <c r="Q12" s="485" t="s">
        <v>724</v>
      </c>
      <c r="R12" s="485"/>
      <c r="S12" s="103" t="s">
        <v>981</v>
      </c>
      <c r="T12" s="99"/>
    </row>
    <row r="13" spans="1:20" ht="15" x14ac:dyDescent="0.25">
      <c r="A13" s="70" t="s">
        <v>984</v>
      </c>
      <c r="B13" s="83">
        <v>0.35820000000000002</v>
      </c>
      <c r="C13" s="84">
        <v>0.37480000000000002</v>
      </c>
      <c r="D13" s="83">
        <v>0.495</v>
      </c>
      <c r="E13" s="85"/>
      <c r="I13" s="102"/>
      <c r="J13" s="145" t="s">
        <v>982</v>
      </c>
      <c r="K13" s="145" t="s">
        <v>983</v>
      </c>
      <c r="L13" s="145"/>
      <c r="M13" s="99"/>
      <c r="P13" s="102"/>
      <c r="Q13" s="145" t="s">
        <v>982</v>
      </c>
      <c r="R13" s="145" t="s">
        <v>983</v>
      </c>
      <c r="S13" s="145"/>
      <c r="T13" s="99"/>
    </row>
    <row r="14" spans="1:20" ht="15.75" thickBot="1" x14ac:dyDescent="0.3">
      <c r="A14" s="86" t="s">
        <v>985</v>
      </c>
      <c r="B14" s="78">
        <v>38441</v>
      </c>
      <c r="C14" s="78">
        <v>76817</v>
      </c>
      <c r="D14" s="78"/>
      <c r="E14" s="79"/>
      <c r="I14" s="102"/>
      <c r="J14" s="104">
        <f>Q14</f>
        <v>0</v>
      </c>
      <c r="K14" s="104"/>
      <c r="L14" s="104">
        <f>S14</f>
        <v>2123</v>
      </c>
      <c r="M14" s="99"/>
      <c r="P14" s="102"/>
      <c r="Q14" s="104">
        <v>0</v>
      </c>
      <c r="R14" s="104"/>
      <c r="S14" s="104">
        <v>2123</v>
      </c>
      <c r="T14" s="99"/>
    </row>
    <row r="15" spans="1:20" ht="15.75" thickTop="1" x14ac:dyDescent="0.25">
      <c r="A15" s="64"/>
      <c r="B15" s="64"/>
      <c r="C15" s="64"/>
      <c r="D15" s="64"/>
      <c r="E15" s="64"/>
      <c r="I15" s="102"/>
      <c r="J15" s="99"/>
      <c r="K15" s="99"/>
      <c r="L15" s="99"/>
      <c r="M15" s="99"/>
      <c r="P15" s="102"/>
      <c r="Q15" s="99"/>
      <c r="R15" s="99"/>
      <c r="S15" s="99"/>
      <c r="T15" s="99"/>
    </row>
    <row r="16" spans="1:20" ht="15.75" thickBot="1" x14ac:dyDescent="0.3">
      <c r="A16" s="94"/>
      <c r="B16" s="64"/>
      <c r="C16" s="64"/>
      <c r="D16" s="64"/>
      <c r="E16" s="64"/>
      <c r="I16" s="101">
        <f>ROUNDUP(IF(J$2&lt;=0,0,IF(OR(VRAGENLIJST!$D$333=dropdowns!$B$25,VRAGENLIJST!$D$333=dropdowns!$C$25,VRAGENLIJST!$D$333=dropdowns!$D$25,VRAGENLIJST!$D$333=dropdowns!$E$25),0,SUM(M19:M23))),0)</f>
        <v>0</v>
      </c>
      <c r="J16" s="484" t="str">
        <f>Q16</f>
        <v>Meewerkaftrek (2023)</v>
      </c>
      <c r="K16" s="484"/>
      <c r="L16" s="484"/>
      <c r="M16" s="99"/>
      <c r="P16" s="101">
        <f>ROUNDUP(IF(Q$2&lt;=0,0,IF(OR(VRAGENLIJST!$H$333=dropdowns!$B$25,VRAGENLIJST!$H$333=dropdowns!$C$25,VRAGENLIJST!$H$333=dropdowns!$D$25,VRAGENLIJST!$H$333=dropdowns!$E$25),0,SUM(T19:T23))),0)</f>
        <v>0</v>
      </c>
      <c r="Q16" s="484" t="s">
        <v>1049</v>
      </c>
      <c r="R16" s="484"/>
      <c r="S16" s="484"/>
      <c r="T16" s="99"/>
    </row>
    <row r="17" spans="1:20" ht="15.75" thickTop="1" x14ac:dyDescent="0.25">
      <c r="A17" s="66" t="str">
        <f>B3</f>
        <v>Ondernemer:</v>
      </c>
      <c r="B17" s="67"/>
      <c r="C17" s="68"/>
      <c r="D17" s="68"/>
      <c r="E17" s="69"/>
      <c r="I17" s="102"/>
      <c r="J17" s="485" t="s">
        <v>986</v>
      </c>
      <c r="K17" s="485"/>
      <c r="L17" s="103" t="s">
        <v>981</v>
      </c>
      <c r="M17" s="99"/>
      <c r="P17" s="102"/>
      <c r="Q17" s="485" t="s">
        <v>986</v>
      </c>
      <c r="R17" s="485"/>
      <c r="S17" s="103" t="s">
        <v>981</v>
      </c>
      <c r="T17" s="99"/>
    </row>
    <row r="18" spans="1:20" ht="15" x14ac:dyDescent="0.25">
      <c r="A18" s="70" t="s">
        <v>984</v>
      </c>
      <c r="B18" s="71">
        <f>B$13</f>
        <v>0.35820000000000002</v>
      </c>
      <c r="C18" s="72">
        <f>C$13</f>
        <v>0.37480000000000002</v>
      </c>
      <c r="D18" s="71">
        <f>D$13</f>
        <v>0.495</v>
      </c>
      <c r="E18" s="73">
        <f>E$13</f>
        <v>0</v>
      </c>
      <c r="I18" s="102"/>
      <c r="J18" s="145" t="s">
        <v>982</v>
      </c>
      <c r="K18" s="145" t="s">
        <v>983</v>
      </c>
      <c r="L18" s="145"/>
      <c r="M18" s="99"/>
      <c r="P18" s="102"/>
      <c r="Q18" s="145" t="s">
        <v>982</v>
      </c>
      <c r="R18" s="145" t="s">
        <v>983</v>
      </c>
      <c r="S18" s="145"/>
      <c r="T18" s="99"/>
    </row>
    <row r="19" spans="1:20" ht="15" x14ac:dyDescent="0.25">
      <c r="A19" s="70" t="s">
        <v>985</v>
      </c>
      <c r="B19" s="74">
        <f>B$14</f>
        <v>38441</v>
      </c>
      <c r="C19" s="74">
        <f>C$14</f>
        <v>76817</v>
      </c>
      <c r="D19" s="74">
        <f>D$14</f>
        <v>0</v>
      </c>
      <c r="E19" s="75">
        <f>E$14</f>
        <v>0</v>
      </c>
      <c r="I19" s="102"/>
      <c r="J19" s="106">
        <f t="shared" ref="J19:L22" si="0">Q19</f>
        <v>0</v>
      </c>
      <c r="K19" s="106">
        <f t="shared" si="0"/>
        <v>525</v>
      </c>
      <c r="L19" s="107">
        <f t="shared" si="0"/>
        <v>0</v>
      </c>
      <c r="M19" s="105">
        <f>IF(VRAGENLIJST!$D$333=dropdowns!$A86,'IB VPB 2'!J$2*'IB VPB 2'!L19,0)</f>
        <v>0</v>
      </c>
      <c r="P19" s="102"/>
      <c r="Q19" s="106">
        <v>0</v>
      </c>
      <c r="R19" s="106">
        <v>525</v>
      </c>
      <c r="S19" s="107">
        <v>0</v>
      </c>
      <c r="T19" s="105">
        <f>IF(VRAGENLIJST!$H$333=dropdowns!$A86,'IB VPB 2'!Q$2*'IB VPB 2'!S19,0)</f>
        <v>0</v>
      </c>
    </row>
    <row r="20" spans="1:20" ht="15" x14ac:dyDescent="0.25">
      <c r="A20" s="76" t="s">
        <v>734</v>
      </c>
      <c r="B20" s="74">
        <f>IF(B4&lt;0,0,IF(B4&lt;B19,B4,B19))</f>
        <v>0</v>
      </c>
      <c r="C20" s="74">
        <f>IF(ISBLANK(C14),IF(B4&lt;B19,0,B4-B19),IF(B4&lt;B19,0,IF(B4&lt;C19,B4-B19,C19-B19)))</f>
        <v>0</v>
      </c>
      <c r="D20" s="74">
        <f>IF(AND(ISBLANK(D14),ISBLANK(C14)),0,IF(ISBLANK(D14),IF(B4&lt;C19,0,B4-C19),IF(B4&lt;C19,0,IF(B4&lt;D19,B4-C19,D19-C19))))</f>
        <v>0</v>
      </c>
      <c r="E20" s="75">
        <f>IF(AND(ISBLANK(E14),ISBLANK(D14)),0,IF(ISBLANK(E14),IF(B4&lt;D19,0,B4-D19),IF(B4&lt;D19,0,IF(B4&lt;E19,B4-D19,E19-D19))))</f>
        <v>0</v>
      </c>
      <c r="I20" s="102"/>
      <c r="J20" s="106">
        <f t="shared" si="0"/>
        <v>525</v>
      </c>
      <c r="K20" s="106">
        <f t="shared" si="0"/>
        <v>875</v>
      </c>
      <c r="L20" s="107">
        <f t="shared" si="0"/>
        <v>1.2500000000000001E-2</v>
      </c>
      <c r="M20" s="105">
        <f>IF(VRAGENLIJST!$D$333=dropdowns!$A87,'IB VPB 2'!J$2*'IB VPB 2'!L20,0)</f>
        <v>0</v>
      </c>
      <c r="P20" s="102"/>
      <c r="Q20" s="106">
        <f>R19</f>
        <v>525</v>
      </c>
      <c r="R20" s="106">
        <v>875</v>
      </c>
      <c r="S20" s="107">
        <v>1.2500000000000001E-2</v>
      </c>
      <c r="T20" s="105">
        <f>IF(VRAGENLIJST!$H$333=dropdowns!$A87,'IB VPB 2'!Q$2*'IB VPB 2'!S20,0)</f>
        <v>0</v>
      </c>
    </row>
    <row r="21" spans="1:20" ht="15.75" thickBot="1" x14ac:dyDescent="0.3">
      <c r="A21" s="77" t="s">
        <v>980</v>
      </c>
      <c r="B21" s="161">
        <f>B18*B20</f>
        <v>0</v>
      </c>
      <c r="C21" s="161">
        <f>C18*C20</f>
        <v>0</v>
      </c>
      <c r="D21" s="161">
        <f>D18*D20</f>
        <v>0</v>
      </c>
      <c r="E21" s="162">
        <f>E18*E20</f>
        <v>0</v>
      </c>
      <c r="I21" s="102"/>
      <c r="J21" s="106">
        <f t="shared" si="0"/>
        <v>875</v>
      </c>
      <c r="K21" s="106">
        <f t="shared" si="0"/>
        <v>1225</v>
      </c>
      <c r="L21" s="107">
        <f t="shared" si="0"/>
        <v>0.02</v>
      </c>
      <c r="M21" s="105">
        <f>IF(VRAGENLIJST!$D$333=dropdowns!$A88,'IB VPB 2'!J$2*'IB VPB 2'!L21,0)</f>
        <v>0</v>
      </c>
      <c r="P21" s="102"/>
      <c r="Q21" s="106">
        <f>R20</f>
        <v>875</v>
      </c>
      <c r="R21" s="106">
        <v>1225</v>
      </c>
      <c r="S21" s="107">
        <v>0.02</v>
      </c>
      <c r="T21" s="105">
        <f>IF(VRAGENLIJST!$H$333=dropdowns!$A88,'IB VPB 2'!Q$2*'IB VPB 2'!S21,0)</f>
        <v>0</v>
      </c>
    </row>
    <row r="22" spans="1:20" ht="15.75" thickTop="1" x14ac:dyDescent="0.25">
      <c r="A22" s="66" t="str">
        <f>C3</f>
        <v/>
      </c>
      <c r="B22" s="67"/>
      <c r="C22" s="68"/>
      <c r="D22" s="68"/>
      <c r="E22" s="69"/>
      <c r="I22" s="102"/>
      <c r="J22" s="106">
        <f t="shared" si="0"/>
        <v>1225</v>
      </c>
      <c r="K22" s="106">
        <f t="shared" si="0"/>
        <v>1750</v>
      </c>
      <c r="L22" s="107">
        <f t="shared" si="0"/>
        <v>0.03</v>
      </c>
      <c r="M22" s="105">
        <f>IF(VRAGENLIJST!$D$333=dropdowns!$A89,'IB VPB 2'!J$2*'IB VPB 2'!L22,0)</f>
        <v>0</v>
      </c>
      <c r="P22" s="102"/>
      <c r="Q22" s="106">
        <f>R21</f>
        <v>1225</v>
      </c>
      <c r="R22" s="106">
        <v>1750</v>
      </c>
      <c r="S22" s="107">
        <v>0.03</v>
      </c>
      <c r="T22" s="105">
        <f>IF(VRAGENLIJST!$H$333=dropdowns!$A89,'IB VPB 2'!Q$2*'IB VPB 2'!S22,0)</f>
        <v>0</v>
      </c>
    </row>
    <row r="23" spans="1:20" ht="15" x14ac:dyDescent="0.25">
      <c r="A23" s="70" t="s">
        <v>984</v>
      </c>
      <c r="B23" s="71">
        <f>B$13</f>
        <v>0.35820000000000002</v>
      </c>
      <c r="C23" s="72">
        <f>C$13</f>
        <v>0.37480000000000002</v>
      </c>
      <c r="D23" s="71">
        <f>D$13</f>
        <v>0.495</v>
      </c>
      <c r="E23" s="73">
        <f>E$13</f>
        <v>0</v>
      </c>
      <c r="I23" s="102"/>
      <c r="J23" s="106">
        <f>Q23</f>
        <v>1750</v>
      </c>
      <c r="K23" s="106"/>
      <c r="L23" s="107">
        <f>S23</f>
        <v>0.04</v>
      </c>
      <c r="M23" s="105">
        <f>IF(VRAGENLIJST!$D$333=dropdowns!$A90,'IB VPB 2'!J$2*'IB VPB 2'!L23,0)</f>
        <v>0</v>
      </c>
      <c r="P23" s="102"/>
      <c r="Q23" s="106">
        <f>R22</f>
        <v>1750</v>
      </c>
      <c r="R23" s="106"/>
      <c r="S23" s="107">
        <v>0.04</v>
      </c>
      <c r="T23" s="105">
        <f>IF(VRAGENLIJST!$H$333=dropdowns!$A90,'IB VPB 2'!Q$2*'IB VPB 2'!S23,0)</f>
        <v>0</v>
      </c>
    </row>
    <row r="24" spans="1:20" ht="15" x14ac:dyDescent="0.25">
      <c r="A24" s="70" t="s">
        <v>985</v>
      </c>
      <c r="B24" s="74">
        <f>B$14</f>
        <v>38441</v>
      </c>
      <c r="C24" s="74">
        <f>C$14</f>
        <v>76817</v>
      </c>
      <c r="D24" s="74">
        <f>D$14</f>
        <v>0</v>
      </c>
      <c r="E24" s="75">
        <f>E14</f>
        <v>0</v>
      </c>
      <c r="I24" s="102"/>
      <c r="J24" s="99"/>
      <c r="K24" s="99"/>
      <c r="L24" s="99"/>
      <c r="M24" s="99"/>
      <c r="P24" s="102"/>
      <c r="Q24" s="99"/>
      <c r="R24" s="99"/>
      <c r="S24" s="99"/>
      <c r="T24" s="99"/>
    </row>
    <row r="25" spans="1:20" ht="15" x14ac:dyDescent="0.25">
      <c r="A25" s="76" t="s">
        <v>734</v>
      </c>
      <c r="B25" s="74">
        <f>IF(C4&lt;0,0,IF(C4&lt;B19,C4,B19))</f>
        <v>0</v>
      </c>
      <c r="C25" s="74">
        <f>IF(ISBLANK(C14),IF(C4&lt;B19,0,C4-B19),IF(C4&lt;B19,0,IF(C4&lt;C19,C4-B19,C19-B19)))</f>
        <v>0</v>
      </c>
      <c r="D25" s="74">
        <f>IF(AND(ISBLANK(D14),ISBLANK(C14)),0,IF(ISBLANK(D14),IF(C4&lt;C19,0,C4-C19),IF(C4&lt;C19,0,IF(C4&lt;D19,C4-C19,D19-C19))))</f>
        <v>0</v>
      </c>
      <c r="E25" s="75">
        <f>IF(AND(ISBLANK(E14),ISBLANK(D14)),0,IF(ISBLANK(E14),IF(C4&lt;D19,0,C4-D19),IF(C4&lt;D19,0,IF(C4&lt;E19,C4-D19,E19-D19))))</f>
        <v>0</v>
      </c>
      <c r="I25" s="101">
        <f>ROUNDUP(SUM(M28:M32),0)</f>
        <v>0</v>
      </c>
      <c r="J25" s="484" t="str">
        <f>Q25</f>
        <v>Investeringsaftrek (2023)</v>
      </c>
      <c r="K25" s="484"/>
      <c r="L25" s="484"/>
      <c r="M25" s="99"/>
      <c r="P25" s="101">
        <f>ROUNDUP(SUM(T28:T32),0)</f>
        <v>0</v>
      </c>
      <c r="Q25" s="484" t="s">
        <v>1050</v>
      </c>
      <c r="R25" s="484"/>
      <c r="S25" s="484"/>
      <c r="T25" s="99"/>
    </row>
    <row r="26" spans="1:20" ht="15.75" thickBot="1" x14ac:dyDescent="0.3">
      <c r="A26" s="77" t="s">
        <v>980</v>
      </c>
      <c r="B26" s="161">
        <f>B23*B25</f>
        <v>0</v>
      </c>
      <c r="C26" s="161">
        <f>C23*C25</f>
        <v>0</v>
      </c>
      <c r="D26" s="161">
        <f>D23*D25</f>
        <v>0</v>
      </c>
      <c r="E26" s="162">
        <f>E23*E25</f>
        <v>0</v>
      </c>
      <c r="I26" s="102"/>
      <c r="J26" s="485" t="s">
        <v>987</v>
      </c>
      <c r="K26" s="485"/>
      <c r="L26" s="103" t="s">
        <v>981</v>
      </c>
      <c r="M26" s="99"/>
      <c r="P26" s="102"/>
      <c r="Q26" s="485" t="s">
        <v>987</v>
      </c>
      <c r="R26" s="485"/>
      <c r="S26" s="103" t="s">
        <v>981</v>
      </c>
      <c r="T26" s="99"/>
    </row>
    <row r="27" spans="1:20" ht="15.75" thickTop="1" x14ac:dyDescent="0.25">
      <c r="A27" s="163"/>
      <c r="B27" s="164"/>
      <c r="C27" s="164"/>
      <c r="D27" s="164"/>
      <c r="E27" s="164"/>
      <c r="I27" s="102"/>
      <c r="J27" s="145" t="s">
        <v>982</v>
      </c>
      <c r="K27" s="145" t="s">
        <v>983</v>
      </c>
      <c r="L27" s="145"/>
      <c r="M27" s="99"/>
      <c r="P27" s="102"/>
      <c r="Q27" s="145" t="s">
        <v>982</v>
      </c>
      <c r="R27" s="145" t="s">
        <v>983</v>
      </c>
      <c r="S27" s="145"/>
      <c r="T27" s="99"/>
    </row>
    <row r="28" spans="1:20" ht="13.5" thickBot="1" x14ac:dyDescent="0.25">
      <c r="I28" s="102"/>
      <c r="J28" s="108">
        <f t="shared" ref="J28:L31" si="1">Q28</f>
        <v>0</v>
      </c>
      <c r="K28" s="108">
        <f t="shared" si="1"/>
        <v>2900</v>
      </c>
      <c r="L28" s="107">
        <f t="shared" si="1"/>
        <v>0</v>
      </c>
      <c r="M28" s="105">
        <f>IF(AND(J$3&gt;=J28,J$3&lt;K28),L28*J$3,0)</f>
        <v>0</v>
      </c>
      <c r="P28" s="102"/>
      <c r="Q28" s="108">
        <v>0</v>
      </c>
      <c r="R28" s="108">
        <v>2900</v>
      </c>
      <c r="S28" s="107">
        <v>0</v>
      </c>
      <c r="T28" s="105">
        <f>IF(AND(Q$3&gt;=Q28,Q$3&lt;R28),S28*Q$3,0)</f>
        <v>0</v>
      </c>
    </row>
    <row r="29" spans="1:20" ht="15.75" thickTop="1" x14ac:dyDescent="0.25">
      <c r="A29" s="80" t="s">
        <v>1056</v>
      </c>
      <c r="B29" s="81"/>
      <c r="C29" s="81"/>
      <c r="D29" s="81"/>
      <c r="E29" s="82"/>
      <c r="I29" s="102"/>
      <c r="J29" s="104">
        <f t="shared" si="1"/>
        <v>2900</v>
      </c>
      <c r="K29" s="104">
        <f t="shared" si="1"/>
        <v>70602</v>
      </c>
      <c r="L29" s="107">
        <f t="shared" si="1"/>
        <v>0.28000000000000003</v>
      </c>
      <c r="M29" s="105">
        <f>IF(AND(J$3&gt;=J29,J$3&lt;K29),L29*J$3,0)</f>
        <v>0</v>
      </c>
      <c r="P29" s="102"/>
      <c r="Q29" s="104">
        <f>R28</f>
        <v>2900</v>
      </c>
      <c r="R29" s="104">
        <v>70602</v>
      </c>
      <c r="S29" s="107">
        <v>0.28000000000000003</v>
      </c>
      <c r="T29" s="105">
        <f>IF(AND(Q$3&gt;=Q29,Q$3&lt;R29),S29*Q$3,0)</f>
        <v>0</v>
      </c>
    </row>
    <row r="30" spans="1:20" ht="15" x14ac:dyDescent="0.25">
      <c r="A30" s="70" t="s">
        <v>984</v>
      </c>
      <c r="B30" s="83">
        <v>0.19</v>
      </c>
      <c r="C30" s="84">
        <v>0.25800000000000001</v>
      </c>
      <c r="D30" s="83"/>
      <c r="E30" s="85"/>
      <c r="I30" s="102"/>
      <c r="J30" s="104">
        <f t="shared" si="1"/>
        <v>70602</v>
      </c>
      <c r="K30" s="104">
        <f t="shared" si="1"/>
        <v>130744</v>
      </c>
      <c r="L30" s="104">
        <f t="shared" si="1"/>
        <v>19769</v>
      </c>
      <c r="M30" s="105">
        <f>IF(AND(J$3&gt;=J30,J$3&lt;K30),L30,0)</f>
        <v>0</v>
      </c>
      <c r="P30" s="102"/>
      <c r="Q30" s="104">
        <f>R29</f>
        <v>70602</v>
      </c>
      <c r="R30" s="104">
        <v>130744</v>
      </c>
      <c r="S30" s="104">
        <v>19769</v>
      </c>
      <c r="T30" s="105">
        <f>IF(AND(Q$3&gt;=Q30,Q$3&lt;R30),S30,0)</f>
        <v>0</v>
      </c>
    </row>
    <row r="31" spans="1:20" ht="15.75" thickBot="1" x14ac:dyDescent="0.3">
      <c r="A31" s="86" t="s">
        <v>985</v>
      </c>
      <c r="B31" s="78">
        <v>200000</v>
      </c>
      <c r="C31" s="78"/>
      <c r="D31" s="78"/>
      <c r="E31" s="79"/>
      <c r="I31" s="102"/>
      <c r="J31" s="104">
        <f t="shared" si="1"/>
        <v>130744</v>
      </c>
      <c r="K31" s="104">
        <f t="shared" si="1"/>
        <v>392230</v>
      </c>
      <c r="L31" s="107">
        <f t="shared" si="1"/>
        <v>7.5600000000000001E-2</v>
      </c>
      <c r="M31" s="105">
        <f>IF(AND(J$3&gt;=J31,J$3&lt;K31),L30-((J$3-100000)*L31),0)</f>
        <v>0</v>
      </c>
      <c r="P31" s="102"/>
      <c r="Q31" s="104">
        <f>R30</f>
        <v>130744</v>
      </c>
      <c r="R31" s="104">
        <v>392230</v>
      </c>
      <c r="S31" s="107">
        <v>7.5600000000000001E-2</v>
      </c>
      <c r="T31" s="105">
        <f>IF(AND(Q$3&gt;=Q31,Q$3&lt;R31),S30-((Q$3-100000)*S31),0)</f>
        <v>0</v>
      </c>
    </row>
    <row r="32" spans="1:20" ht="14.25" thickTop="1" thickBot="1" x14ac:dyDescent="0.25">
      <c r="I32" s="102"/>
      <c r="J32" s="104">
        <f>Q32</f>
        <v>392230</v>
      </c>
      <c r="K32" s="104"/>
      <c r="L32" s="107">
        <f>S32</f>
        <v>0</v>
      </c>
      <c r="M32" s="105">
        <f>IF(J$3&gt;=J32,J$3*L32,0)</f>
        <v>0</v>
      </c>
      <c r="P32" s="102"/>
      <c r="Q32" s="104">
        <f>R31</f>
        <v>392230</v>
      </c>
      <c r="R32" s="104"/>
      <c r="S32" s="107">
        <v>0</v>
      </c>
      <c r="T32" s="105">
        <f>IF(Q$3&gt;=Q32,Q$3*S32,0)</f>
        <v>0</v>
      </c>
    </row>
    <row r="33" spans="1:21" ht="15.75" thickTop="1" x14ac:dyDescent="0.25">
      <c r="A33" s="66" t="s">
        <v>1057</v>
      </c>
      <c r="B33" s="67"/>
      <c r="C33" s="68"/>
      <c r="D33" s="68"/>
      <c r="E33" s="69"/>
      <c r="I33" s="102"/>
      <c r="J33" s="99"/>
      <c r="K33" s="99"/>
      <c r="L33" s="99"/>
      <c r="M33" s="99"/>
      <c r="P33" s="102"/>
      <c r="Q33" s="99"/>
      <c r="R33" s="99"/>
      <c r="S33" s="99"/>
      <c r="T33" s="99"/>
    </row>
    <row r="34" spans="1:21" ht="15" x14ac:dyDescent="0.25">
      <c r="A34" s="76" t="s">
        <v>734</v>
      </c>
      <c r="B34" s="74">
        <f>IF(G5&lt;0,0,IF(G5&lt;B31,G5,B31))</f>
        <v>0</v>
      </c>
      <c r="C34" s="74">
        <f>IF(ISBLANK(C31),IF(G5&lt;B31,0,G5-B31),IF(G5&lt;B31,0,IF(G5&lt;B31,G5-B31,C31-B31)))</f>
        <v>0</v>
      </c>
      <c r="D34" s="74">
        <f>IF(AND(ISBLANK(D31),ISBLANK(C31)),0,IF(ISBLANK(D31),IF(G5&lt;C31,0,G5-C31),IF(G5&lt;C31,0,IF(G5&lt;D31,G5-C31,D31-C31))))</f>
        <v>0</v>
      </c>
      <c r="E34" s="165">
        <f>IF(AND(ISBLANK(E31),ISBLANK(D31)),0,IF(ISBLANK(E31),IF(G5&lt;D31,0,G5-D31),IF(G5&lt;D31,0,IF(G5&lt;E31,G5-D31,E31-D31))))</f>
        <v>0</v>
      </c>
      <c r="I34" s="102"/>
      <c r="J34" s="484" t="str">
        <f>Q34</f>
        <v>MKB-winstvrijstelling (2023)</v>
      </c>
      <c r="K34" s="484"/>
      <c r="L34" s="484"/>
      <c r="M34" s="99"/>
      <c r="P34" s="102"/>
      <c r="Q34" s="484" t="s">
        <v>1051</v>
      </c>
      <c r="R34" s="484"/>
      <c r="S34" s="484"/>
      <c r="T34" s="99"/>
    </row>
    <row r="35" spans="1:21" ht="15.75" thickBot="1" x14ac:dyDescent="0.3">
      <c r="A35" s="77" t="s">
        <v>1057</v>
      </c>
      <c r="B35" s="161">
        <f>B34*B30</f>
        <v>0</v>
      </c>
      <c r="C35" s="161">
        <f>C34*C30</f>
        <v>0</v>
      </c>
      <c r="D35" s="161"/>
      <c r="E35" s="162"/>
      <c r="I35" s="102"/>
      <c r="J35" s="485" t="s">
        <v>988</v>
      </c>
      <c r="K35" s="485"/>
      <c r="L35" s="103" t="s">
        <v>981</v>
      </c>
      <c r="M35" s="99"/>
      <c r="P35" s="102"/>
      <c r="Q35" s="485" t="s">
        <v>988</v>
      </c>
      <c r="R35" s="485"/>
      <c r="S35" s="103" t="s">
        <v>981</v>
      </c>
      <c r="T35" s="99"/>
    </row>
    <row r="36" spans="1:21" ht="13.5" thickTop="1" x14ac:dyDescent="0.2">
      <c r="I36" s="101">
        <f>ROUNDUP(IF(J$2-I$6-I$11-I$16&lt;0,0,(J$2-I$6-I$11-I$16)*L$37),0)</f>
        <v>0</v>
      </c>
      <c r="J36" s="145" t="s">
        <v>982</v>
      </c>
      <c r="K36" s="145" t="s">
        <v>983</v>
      </c>
      <c r="L36" s="145"/>
      <c r="M36" s="99"/>
      <c r="P36" s="101">
        <f>ROUNDUP(IF(Q$2-P$6-P$11-P$16&lt;0,0,(Q$2-P$6-P$11-P$16)*S$37),0)</f>
        <v>0</v>
      </c>
      <c r="Q36" s="145" t="s">
        <v>982</v>
      </c>
      <c r="R36" s="145" t="s">
        <v>983</v>
      </c>
      <c r="S36" s="145"/>
      <c r="T36" s="99"/>
    </row>
    <row r="37" spans="1:21" x14ac:dyDescent="0.2">
      <c r="I37" s="96"/>
      <c r="J37" s="104">
        <f>Q37</f>
        <v>0</v>
      </c>
      <c r="K37" s="104"/>
      <c r="L37" s="107">
        <f>S37</f>
        <v>0.127</v>
      </c>
      <c r="M37" s="109"/>
      <c r="P37" s="96"/>
      <c r="Q37" s="104">
        <v>0</v>
      </c>
      <c r="R37" s="104"/>
      <c r="S37" s="107">
        <v>0.127</v>
      </c>
      <c r="T37" s="109"/>
    </row>
    <row r="38" spans="1:21" x14ac:dyDescent="0.2">
      <c r="I38" s="96"/>
      <c r="J38" s="89"/>
      <c r="K38" s="89"/>
      <c r="L38" s="89"/>
      <c r="M38" s="89"/>
      <c r="P38" s="96"/>
      <c r="Q38" s="89"/>
      <c r="R38" s="89"/>
      <c r="S38" s="89"/>
      <c r="T38" s="89"/>
    </row>
    <row r="39" spans="1:21" x14ac:dyDescent="0.2">
      <c r="I39" s="101">
        <f>ROUNDUP(SUM(L42:L44),0)</f>
        <v>0</v>
      </c>
      <c r="J39" s="484" t="str">
        <f>Q39</f>
        <v>Heffingskorting (2023)</v>
      </c>
      <c r="K39" s="484"/>
      <c r="L39" s="484"/>
      <c r="P39" s="101">
        <f>ROUNDUP(SUM(S42:S44),0)</f>
        <v>0</v>
      </c>
      <c r="Q39" s="484" t="s">
        <v>1053</v>
      </c>
      <c r="R39" s="484"/>
      <c r="S39" s="484"/>
      <c r="T39"/>
    </row>
    <row r="40" spans="1:21" x14ac:dyDescent="0.2">
      <c r="J40" s="485" t="s">
        <v>734</v>
      </c>
      <c r="K40" s="485"/>
      <c r="L40" s="103" t="s">
        <v>989</v>
      </c>
      <c r="Q40" s="485" t="s">
        <v>734</v>
      </c>
      <c r="R40" s="485"/>
      <c r="S40" s="103" t="s">
        <v>989</v>
      </c>
    </row>
    <row r="41" spans="1:21" x14ac:dyDescent="0.2">
      <c r="J41" s="145" t="s">
        <v>982</v>
      </c>
      <c r="K41" s="145" t="s">
        <v>983</v>
      </c>
      <c r="L41" s="145"/>
      <c r="Q41" s="145" t="s">
        <v>982</v>
      </c>
      <c r="R41" s="145" t="s">
        <v>983</v>
      </c>
      <c r="S41" s="145"/>
    </row>
    <row r="42" spans="1:21" x14ac:dyDescent="0.2">
      <c r="J42" s="108">
        <f>Q42</f>
        <v>0</v>
      </c>
      <c r="K42" s="108">
        <f>R42</f>
        <v>28406</v>
      </c>
      <c r="L42" s="104">
        <f>IF(AND($C$4&gt;J42,$C$4&lt;K42),M42,0)</f>
        <v>0</v>
      </c>
      <c r="M42" s="105">
        <f t="shared" ref="M42:N44" si="2">T42</f>
        <v>3068</v>
      </c>
      <c r="N42" s="88">
        <f t="shared" si="2"/>
        <v>0</v>
      </c>
      <c r="Q42" s="108">
        <v>0</v>
      </c>
      <c r="R42" s="108">
        <v>28406</v>
      </c>
      <c r="S42" s="104">
        <f>IF(AND($C$4&gt;Q42,$C$4&lt;R42),T42,0)</f>
        <v>0</v>
      </c>
      <c r="T42" s="105">
        <v>3068</v>
      </c>
      <c r="U42" s="88"/>
    </row>
    <row r="43" spans="1:21" x14ac:dyDescent="0.2">
      <c r="J43" s="104">
        <f>Q43</f>
        <v>28406</v>
      </c>
      <c r="K43" s="104">
        <f>R43</f>
        <v>76817</v>
      </c>
      <c r="L43" s="104">
        <f>IF(AND($C$4&gt;=J43,$C$4&lt;K43),M43-N43*($C$4-J43),0)</f>
        <v>0</v>
      </c>
      <c r="M43" s="105">
        <f t="shared" si="2"/>
        <v>3068</v>
      </c>
      <c r="N43" s="88">
        <f t="shared" si="2"/>
        <v>6.3369999999999996E-2</v>
      </c>
      <c r="Q43" s="104">
        <f>R42</f>
        <v>28406</v>
      </c>
      <c r="R43" s="104">
        <v>76817</v>
      </c>
      <c r="S43" s="104">
        <f>IF(AND($B$4&gt;=Q43,$B$4&lt;R43),T43-U43*($B$4-Q43),0)</f>
        <v>0</v>
      </c>
      <c r="T43" s="105">
        <v>3068</v>
      </c>
      <c r="U43" s="88">
        <v>6.3369999999999996E-2</v>
      </c>
    </row>
    <row r="44" spans="1:21" x14ac:dyDescent="0.2">
      <c r="J44" s="104">
        <f>Q44</f>
        <v>76817</v>
      </c>
      <c r="K44" s="104"/>
      <c r="L44" s="104">
        <f>IF($C$4&gt;=J44,M44,0)</f>
        <v>0</v>
      </c>
      <c r="M44" s="105">
        <f t="shared" si="2"/>
        <v>0</v>
      </c>
      <c r="N44" s="88">
        <f t="shared" si="2"/>
        <v>0</v>
      </c>
      <c r="Q44" s="104">
        <f>R43</f>
        <v>76817</v>
      </c>
      <c r="R44" s="104"/>
      <c r="S44" s="104">
        <f>IF($B$4&gt;=Q44,T44,0)</f>
        <v>0</v>
      </c>
      <c r="T44" s="105">
        <v>0</v>
      </c>
      <c r="U44" s="88"/>
    </row>
    <row r="45" spans="1:21" x14ac:dyDescent="0.2">
      <c r="J45" s="88"/>
      <c r="K45" s="88"/>
      <c r="L45" s="88"/>
      <c r="Q45" s="88"/>
      <c r="R45" s="88"/>
      <c r="S45" s="88"/>
    </row>
    <row r="46" spans="1:21" x14ac:dyDescent="0.2">
      <c r="I46" s="101">
        <f>ROUNDUP(SUM(L49:L53),0)</f>
        <v>0</v>
      </c>
      <c r="J46" s="484" t="str">
        <f>Q46</f>
        <v>Arbeidskorting (2023)</v>
      </c>
      <c r="K46" s="484"/>
      <c r="L46" s="484"/>
      <c r="P46" s="101">
        <f>ROUNDUP(SUM(S49:S53),0)</f>
        <v>0</v>
      </c>
      <c r="Q46" s="484" t="s">
        <v>1054</v>
      </c>
      <c r="R46" s="484"/>
      <c r="S46" s="484"/>
      <c r="T46"/>
    </row>
    <row r="47" spans="1:21" x14ac:dyDescent="0.2">
      <c r="J47" s="485" t="s">
        <v>734</v>
      </c>
      <c r="K47" s="485"/>
      <c r="L47" s="103" t="s">
        <v>989</v>
      </c>
      <c r="Q47" s="485" t="s">
        <v>734</v>
      </c>
      <c r="R47" s="485"/>
      <c r="S47" s="103" t="s">
        <v>989</v>
      </c>
    </row>
    <row r="48" spans="1:21" x14ac:dyDescent="0.2">
      <c r="J48" s="145" t="s">
        <v>982</v>
      </c>
      <c r="K48" s="145" t="s">
        <v>983</v>
      </c>
      <c r="L48" s="145"/>
      <c r="Q48" s="145" t="s">
        <v>982</v>
      </c>
      <c r="R48" s="145" t="s">
        <v>983</v>
      </c>
      <c r="S48" s="145"/>
    </row>
    <row r="49" spans="9:21" x14ac:dyDescent="0.2">
      <c r="J49" s="108">
        <f t="shared" ref="J49:K52" si="3">Q49</f>
        <v>0</v>
      </c>
      <c r="K49" s="108">
        <f t="shared" si="3"/>
        <v>12169</v>
      </c>
      <c r="L49" s="104">
        <f>IF(AND(J2&gt;J49,J2&lt;K49),N49*J2,0)</f>
        <v>0</v>
      </c>
      <c r="M49" s="105">
        <f t="shared" ref="M49:N53" si="4">T49</f>
        <v>0</v>
      </c>
      <c r="N49" s="88">
        <f t="shared" si="4"/>
        <v>8.0530000000000004E-2</v>
      </c>
      <c r="Q49" s="108">
        <v>0</v>
      </c>
      <c r="R49" s="108">
        <v>12169</v>
      </c>
      <c r="S49" s="104">
        <f>IF(AND(Q2&gt;Q49,Q2&lt;R49),U49*Q2,0)</f>
        <v>0</v>
      </c>
      <c r="T49" s="105"/>
      <c r="U49" s="88">
        <v>8.0530000000000004E-2</v>
      </c>
    </row>
    <row r="50" spans="9:21" x14ac:dyDescent="0.2">
      <c r="J50" s="104">
        <f t="shared" si="3"/>
        <v>12169</v>
      </c>
      <c r="K50" s="104">
        <f t="shared" si="3"/>
        <v>26288</v>
      </c>
      <c r="L50" s="104">
        <f>IF(AND(J2&gt;=J50,J2&lt;K50),M50+N50*(J2-J50),0)</f>
        <v>0</v>
      </c>
      <c r="M50" s="105">
        <f t="shared" si="4"/>
        <v>980</v>
      </c>
      <c r="N50" s="88">
        <f t="shared" si="4"/>
        <v>0.30030000000000001</v>
      </c>
      <c r="Q50" s="104">
        <f>R49</f>
        <v>12169</v>
      </c>
      <c r="R50" s="104">
        <v>26288</v>
      </c>
      <c r="S50" s="104">
        <f>IF(AND(Q2&gt;=Q50,Q2&lt;R50),T50+U50*(Q2-Q50),0)</f>
        <v>0</v>
      </c>
      <c r="T50" s="105">
        <v>980</v>
      </c>
      <c r="U50" s="88">
        <v>0.30030000000000001</v>
      </c>
    </row>
    <row r="51" spans="9:21" x14ac:dyDescent="0.2">
      <c r="J51" s="104">
        <f t="shared" si="3"/>
        <v>26288</v>
      </c>
      <c r="K51" s="104">
        <f t="shared" si="3"/>
        <v>43071</v>
      </c>
      <c r="L51" s="104">
        <f>IF(AND(J2&gt;=J51,J2&lt;K51),M51,0)</f>
        <v>0</v>
      </c>
      <c r="M51" s="105">
        <f t="shared" si="4"/>
        <v>5220</v>
      </c>
      <c r="N51" s="88">
        <f t="shared" si="4"/>
        <v>2.2579999999999999E-2</v>
      </c>
      <c r="Q51" s="104">
        <f>R50</f>
        <v>26288</v>
      </c>
      <c r="R51" s="104">
        <v>43071</v>
      </c>
      <c r="S51" s="104">
        <f>IF(AND(Q2&gt;=Q51,Q2&lt;R51),T51+U51*(Q2-Q51),0)</f>
        <v>0</v>
      </c>
      <c r="T51" s="105">
        <v>5220</v>
      </c>
      <c r="U51" s="88">
        <v>2.2579999999999999E-2</v>
      </c>
    </row>
    <row r="52" spans="9:21" x14ac:dyDescent="0.2">
      <c r="J52" s="104">
        <f t="shared" si="3"/>
        <v>43071</v>
      </c>
      <c r="K52" s="104">
        <f t="shared" si="3"/>
        <v>129078</v>
      </c>
      <c r="L52" s="104">
        <f>IF(AND(J2&gt;=J52,J2&lt;K52),M52-N52*(J2-J52),0)</f>
        <v>0</v>
      </c>
      <c r="M52" s="105">
        <f t="shared" si="4"/>
        <v>5599</v>
      </c>
      <c r="N52" s="88">
        <f t="shared" si="4"/>
        <v>6.5100000000000005E-2</v>
      </c>
      <c r="Q52" s="104">
        <f>R51</f>
        <v>43071</v>
      </c>
      <c r="R52" s="104">
        <v>129078</v>
      </c>
      <c r="S52" s="104">
        <f>IF(AND(Q2&gt;=Q52,Q2&lt;R52),T52-U52*(Q2-Q52),0)</f>
        <v>0</v>
      </c>
      <c r="T52" s="105">
        <v>5599</v>
      </c>
      <c r="U52" s="88">
        <v>6.5100000000000005E-2</v>
      </c>
    </row>
    <row r="53" spans="9:21" x14ac:dyDescent="0.2">
      <c r="J53" s="104">
        <f>Q53</f>
        <v>129078</v>
      </c>
      <c r="K53" s="104"/>
      <c r="L53" s="104">
        <f>IF(J2&gt;=J53,M53,0)</f>
        <v>0</v>
      </c>
      <c r="M53" s="105">
        <f t="shared" si="4"/>
        <v>0</v>
      </c>
      <c r="N53" s="88">
        <f t="shared" si="4"/>
        <v>0</v>
      </c>
      <c r="Q53" s="104">
        <f>R52</f>
        <v>129078</v>
      </c>
      <c r="R53" s="104"/>
      <c r="S53" s="104">
        <f>IF(Q2&gt;=Q53,T53,0)</f>
        <v>0</v>
      </c>
      <c r="T53" s="105">
        <v>0</v>
      </c>
      <c r="U53" s="88"/>
    </row>
    <row r="55" spans="9:21" x14ac:dyDescent="0.2">
      <c r="I55" s="101">
        <f>ROUNDDOWN(SUM(M58:M59),0)</f>
        <v>0</v>
      </c>
      <c r="J55" s="484" t="str">
        <f>Q55</f>
        <v>Inkomensafhankelijke bijdrage Zvw</v>
      </c>
      <c r="K55" s="484"/>
      <c r="L55" s="484"/>
      <c r="P55" s="101">
        <f>ROUNDDOWN(SUM(T58:T59),0)</f>
        <v>0</v>
      </c>
      <c r="Q55" s="484" t="s">
        <v>1084</v>
      </c>
      <c r="R55" s="484"/>
      <c r="S55" s="484"/>
    </row>
    <row r="56" spans="9:21" x14ac:dyDescent="0.2">
      <c r="J56" s="485" t="str">
        <f>Q56</f>
        <v>Belastbaar inkomen</v>
      </c>
      <c r="K56" s="485"/>
      <c r="L56" s="103" t="str">
        <f>S56</f>
        <v>Bijdrage</v>
      </c>
      <c r="Q56" s="485" t="s">
        <v>734</v>
      </c>
      <c r="R56" s="485"/>
      <c r="S56" s="103" t="s">
        <v>1085</v>
      </c>
    </row>
    <row r="57" spans="9:21" x14ac:dyDescent="0.2">
      <c r="J57" s="145" t="str">
        <f>Q57</f>
        <v>van</v>
      </c>
      <c r="K57" s="145" t="str">
        <f>R57</f>
        <v>tot</v>
      </c>
      <c r="L57" s="145"/>
      <c r="Q57" s="145" t="s">
        <v>982</v>
      </c>
      <c r="R57" s="145" t="s">
        <v>983</v>
      </c>
      <c r="S57" s="145"/>
    </row>
    <row r="58" spans="9:21" x14ac:dyDescent="0.2">
      <c r="J58" s="108">
        <f>Q58</f>
        <v>0</v>
      </c>
      <c r="K58" s="108">
        <f>R58</f>
        <v>75860</v>
      </c>
      <c r="L58" s="169">
        <f>S58</f>
        <v>5.2600000000000001E-2</v>
      </c>
      <c r="M58" s="105">
        <f>IF(AND(C4&gt;=J58,C4&lt;K58),L58*C4,IF(C4&gt;K58,K58*L58,0))</f>
        <v>0</v>
      </c>
      <c r="N58" s="166"/>
      <c r="Q58" s="108">
        <v>0</v>
      </c>
      <c r="R58" s="108">
        <v>75860</v>
      </c>
      <c r="S58" s="168">
        <v>5.2600000000000001E-2</v>
      </c>
      <c r="T58" s="105">
        <f>IF(AND(B4&gt;=Q58,B4&lt;R58),S58*B4,IF(B4&gt;R58,R58*S58,0))</f>
        <v>0</v>
      </c>
    </row>
    <row r="59" spans="9:21" x14ac:dyDescent="0.2">
      <c r="J59" s="108">
        <f>Q59</f>
        <v>75860</v>
      </c>
      <c r="K59" s="108">
        <f>R59</f>
        <v>0</v>
      </c>
      <c r="L59" s="169">
        <f>S59</f>
        <v>0</v>
      </c>
      <c r="M59" s="105">
        <f>IF(J$2&gt;=J59,J$2*L59,0)</f>
        <v>0</v>
      </c>
      <c r="Q59" s="108">
        <f>R58</f>
        <v>75860</v>
      </c>
      <c r="R59" s="108"/>
      <c r="S59" s="168">
        <v>0</v>
      </c>
      <c r="T59" s="105">
        <f>IF(Q$2&gt;=Q59,Q$2*S59,0)</f>
        <v>0</v>
      </c>
    </row>
    <row r="61" spans="9:21" x14ac:dyDescent="0.2">
      <c r="I61" s="101">
        <f>ROUNDDOWN(IF(J2&gt;C14,MIN(J2-C14,J4),0)*L64,0)</f>
        <v>0</v>
      </c>
      <c r="J61" s="484" t="str">
        <f>Q61</f>
        <v>Tariefsaanpassing aftrekposten</v>
      </c>
      <c r="K61" s="484"/>
      <c r="L61" s="484"/>
      <c r="O61" s="167"/>
      <c r="P61" s="101">
        <f>ROUNDDOWN(IF(Q2&gt;C14,MIN(Q2-C14,Q4),0)*S64,0)</f>
        <v>0</v>
      </c>
      <c r="Q61" s="484" t="s">
        <v>1087</v>
      </c>
      <c r="R61" s="484"/>
      <c r="S61" s="484"/>
    </row>
    <row r="62" spans="9:21" x14ac:dyDescent="0.2">
      <c r="J62" s="485" t="str">
        <f>Q62</f>
        <v>Belastbaar inkomen</v>
      </c>
      <c r="K62" s="485"/>
      <c r="L62" s="103" t="str">
        <f>S62</f>
        <v>Aftrek</v>
      </c>
      <c r="Q62" s="485" t="s">
        <v>734</v>
      </c>
      <c r="R62" s="485"/>
      <c r="S62" s="103" t="s">
        <v>981</v>
      </c>
    </row>
    <row r="63" spans="9:21" x14ac:dyDescent="0.2">
      <c r="J63" s="145" t="str">
        <f>Q63</f>
        <v>van</v>
      </c>
      <c r="K63" s="145" t="str">
        <f>R63</f>
        <v>tot</v>
      </c>
      <c r="L63" s="145"/>
      <c r="Q63" s="145" t="s">
        <v>982</v>
      </c>
      <c r="R63" s="145" t="s">
        <v>983</v>
      </c>
      <c r="S63" s="145"/>
    </row>
    <row r="64" spans="9:21" x14ac:dyDescent="0.2">
      <c r="J64" s="108">
        <f>Q64</f>
        <v>0</v>
      </c>
      <c r="K64" s="108">
        <f>R64</f>
        <v>0</v>
      </c>
      <c r="L64" s="169">
        <f>S64</f>
        <v>0.1202</v>
      </c>
      <c r="Q64" s="108">
        <v>0</v>
      </c>
      <c r="R64" s="108"/>
      <c r="S64" s="168">
        <v>0.1202</v>
      </c>
      <c r="T64" s="166"/>
    </row>
  </sheetData>
  <sheetProtection algorithmName="SHA-512" hashValue="oufF6y26uhsecMYBQggAljZlU/smSWU0LE3M/nun2fM0z2PCaFil3nuXShTp9pPctWE9xm8chM0DxrnV1afBYg==" saltValue="HPkYnPa2Th4cTa92pHGadA==" spinCount="100000" sheet="1" objects="1" scenarios="1"/>
  <mergeCells count="36">
    <mergeCell ref="J6:L6"/>
    <mergeCell ref="Q6:S6"/>
    <mergeCell ref="J7:K7"/>
    <mergeCell ref="Q7:R7"/>
    <mergeCell ref="J11:L11"/>
    <mergeCell ref="Q11:S11"/>
    <mergeCell ref="J12:K12"/>
    <mergeCell ref="Q12:R12"/>
    <mergeCell ref="J16:L16"/>
    <mergeCell ref="Q16:S16"/>
    <mergeCell ref="J17:K17"/>
    <mergeCell ref="Q17:R17"/>
    <mergeCell ref="J25:L25"/>
    <mergeCell ref="Q25:S25"/>
    <mergeCell ref="J26:K26"/>
    <mergeCell ref="Q26:R26"/>
    <mergeCell ref="J34:L34"/>
    <mergeCell ref="Q34:S34"/>
    <mergeCell ref="J35:K35"/>
    <mergeCell ref="Q35:R35"/>
    <mergeCell ref="J39:L39"/>
    <mergeCell ref="Q39:S39"/>
    <mergeCell ref="J40:K40"/>
    <mergeCell ref="Q40:R40"/>
    <mergeCell ref="J46:L46"/>
    <mergeCell ref="Q46:S46"/>
    <mergeCell ref="J47:K47"/>
    <mergeCell ref="Q47:R47"/>
    <mergeCell ref="J55:L55"/>
    <mergeCell ref="Q55:S55"/>
    <mergeCell ref="J56:K56"/>
    <mergeCell ref="Q56:R56"/>
    <mergeCell ref="J61:L61"/>
    <mergeCell ref="Q61:S61"/>
    <mergeCell ref="J62:K62"/>
    <mergeCell ref="Q62:R62"/>
  </mergeCells>
  <pageMargins left="0.7" right="0.7" top="0.75" bottom="0.75" header="0.51180555555555551" footer="0.51180555555555551"/>
  <pageSetup firstPageNumber="0" orientation="portrait"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E63F9-2ED2-4175-ADC5-E915936EF897}">
  <dimension ref="A1:U64"/>
  <sheetViews>
    <sheetView topLeftCell="B1" zoomScaleNormal="100" workbookViewId="0">
      <selection activeCell="D14" sqref="D14"/>
    </sheetView>
  </sheetViews>
  <sheetFormatPr defaultRowHeight="12.75" x14ac:dyDescent="0.2"/>
  <cols>
    <col min="1" max="1" width="20.85546875" style="27" customWidth="1"/>
    <col min="2" max="3" width="16.7109375" style="27" bestFit="1" customWidth="1"/>
    <col min="4" max="4" width="12" style="27" customWidth="1"/>
    <col min="5" max="5" width="11.7109375" style="27" bestFit="1" customWidth="1"/>
    <col min="6" max="7" width="20.28515625" style="27" bestFit="1" customWidth="1"/>
    <col min="8" max="8" width="9.140625" style="27"/>
    <col min="9" max="9" width="19.5703125" style="27" customWidth="1"/>
    <col min="10" max="10" width="15.42578125" style="27" bestFit="1" customWidth="1"/>
    <col min="11" max="11" width="12.140625" style="27" customWidth="1"/>
    <col min="12" max="12" width="7.85546875" style="27" customWidth="1"/>
    <col min="13" max="13" width="11" style="27" customWidth="1"/>
    <col min="14" max="14" width="10.28515625" style="27" customWidth="1"/>
    <col min="15" max="15" width="19.42578125" style="27" bestFit="1" customWidth="1"/>
    <col min="16" max="17" width="15.42578125" style="27" bestFit="1" customWidth="1"/>
    <col min="18" max="18" width="9.140625" style="27"/>
    <col min="19" max="20" width="10.28515625" style="27" bestFit="1" customWidth="1"/>
    <col min="21" max="16384" width="9.140625" style="27"/>
  </cols>
  <sheetData>
    <row r="1" spans="1:20" ht="24" thickTop="1" x14ac:dyDescent="0.35">
      <c r="A1" s="87" t="s">
        <v>1055</v>
      </c>
      <c r="B1" s="88"/>
      <c r="C1" s="88"/>
      <c r="D1" s="88"/>
      <c r="E1" s="88"/>
      <c r="F1" s="95" t="s">
        <v>976</v>
      </c>
      <c r="G1" s="96"/>
      <c r="J1" s="81" t="str">
        <f>VRAGENLIJST!$D$10</f>
        <v/>
      </c>
      <c r="Q1" s="81" t="str">
        <f>VRAGENLIJST!$H$10</f>
        <v>Ondernemer:</v>
      </c>
      <c r="R1" s="89"/>
      <c r="S1" s="89"/>
      <c r="T1" s="89"/>
    </row>
    <row r="2" spans="1:20" ht="13.5" thickBot="1" x14ac:dyDescent="0.25">
      <c r="A2" s="89" t="s">
        <v>977</v>
      </c>
      <c r="B2" s="90">
        <v>45162</v>
      </c>
      <c r="C2" s="88"/>
      <c r="D2" s="88"/>
      <c r="E2" s="88"/>
      <c r="F2" s="97" t="s">
        <v>724</v>
      </c>
      <c r="G2" s="98">
        <f>Exploitatie!E35</f>
        <v>0</v>
      </c>
      <c r="I2" s="97" t="s">
        <v>724</v>
      </c>
      <c r="J2" s="98">
        <f>IF(VRAGENLIJST!$D$4="B.V.",0,IF($J$1="",0,G2*VRAGENLIJST!$D$11))</f>
        <v>0</v>
      </c>
      <c r="P2" s="97" t="s">
        <v>978</v>
      </c>
      <c r="Q2" s="98">
        <f>IF(OR(VRAGENLIJST!$D$4=dropdowns!B6,VRAGENLIJST!D4=dropdowns!C6),0,IF(OR($Q$1=Vertaling!B41,Q1=Vertaling!C41),G2,G2*VRAGENLIJST!$H$11))</f>
        <v>0</v>
      </c>
      <c r="R2" s="99"/>
      <c r="S2" s="99"/>
      <c r="T2" s="99"/>
    </row>
    <row r="3" spans="1:20" ht="15.75" thickTop="1" x14ac:dyDescent="0.25">
      <c r="A3" s="80" t="s">
        <v>663</v>
      </c>
      <c r="B3" s="81" t="str">
        <f>VRAGENLIJST!$H$10</f>
        <v>Ondernemer:</v>
      </c>
      <c r="C3" s="81" t="str">
        <f>VRAGENLIJST!$D$10</f>
        <v/>
      </c>
      <c r="D3" s="88"/>
      <c r="F3" s="97" t="s">
        <v>979</v>
      </c>
      <c r="G3" s="98">
        <f>IF('Investering &amp; Financiering'!E6&gt;G4,'Investering &amp; Financiering'!E6)+IF('Investering &amp; Financiering'!E7&gt;G4,'Investering &amp; Financiering'!E7)+IF('Investering &amp; Financiering'!E8&gt;G4,'Investering &amp; Financiering'!E8)</f>
        <v>0</v>
      </c>
      <c r="I3" s="97" t="s">
        <v>979</v>
      </c>
      <c r="J3" s="98">
        <f>IF($J$1="",0,G3*VRAGENLIJST!$D$11)</f>
        <v>0</v>
      </c>
      <c r="P3" s="97" t="s">
        <v>979</v>
      </c>
      <c r="Q3" s="98">
        <f>IF($J$1="",0,G3*(1-VRAGENLIJST!$D$11))</f>
        <v>0</v>
      </c>
      <c r="S3" s="99"/>
      <c r="T3" s="99"/>
    </row>
    <row r="4" spans="1:20" ht="15" x14ac:dyDescent="0.25">
      <c r="A4" s="91" t="s">
        <v>734</v>
      </c>
      <c r="B4" s="92">
        <f>IF(Q2-Q4&lt;0,0,(Q2-Q4))</f>
        <v>0</v>
      </c>
      <c r="C4" s="92">
        <f>IF(J2-J4&lt;0,0,(J2-J4))</f>
        <v>0</v>
      </c>
      <c r="D4" s="88"/>
      <c r="E4" s="64"/>
      <c r="F4" s="99" t="s">
        <v>1046</v>
      </c>
      <c r="G4" s="98">
        <v>450</v>
      </c>
      <c r="I4" s="97" t="s">
        <v>730</v>
      </c>
      <c r="J4" s="98">
        <f>'IB VPB 3'!I6+'IB VPB 3'!I11+'IB VPB 3'!I16+'IB VPB 3'!I25+'IB VPB 3'!I36</f>
        <v>0</v>
      </c>
      <c r="P4" s="97" t="s">
        <v>730</v>
      </c>
      <c r="Q4" s="98">
        <f>'IB VPB 3'!P6+'IB VPB 3'!P11+'IB VPB 3'!P16+'IB VPB 3'!P25+'IB VPB 3'!P36</f>
        <v>0</v>
      </c>
      <c r="R4" s="89"/>
      <c r="S4" s="105"/>
      <c r="T4" s="99"/>
    </row>
    <row r="5" spans="1:20" ht="15" x14ac:dyDescent="0.25">
      <c r="A5" s="111" t="s">
        <v>738</v>
      </c>
      <c r="B5" s="113">
        <f>ROUNDDOWN(SUM(B21:E21),0)</f>
        <v>0</v>
      </c>
      <c r="C5" s="113">
        <f>ROUNDDOWN(SUM(B26:E26),0)</f>
        <v>0</v>
      </c>
      <c r="D5" s="88"/>
      <c r="E5" s="64"/>
      <c r="F5" s="97" t="s">
        <v>1058</v>
      </c>
      <c r="G5" s="98">
        <f>G2-J4-Q4</f>
        <v>0</v>
      </c>
      <c r="P5" s="89"/>
      <c r="Q5" s="100"/>
      <c r="R5" s="99"/>
      <c r="S5" s="99"/>
      <c r="T5" s="99"/>
    </row>
    <row r="6" spans="1:20" ht="21" x14ac:dyDescent="0.55000000000000004">
      <c r="A6" s="112" t="s">
        <v>1089</v>
      </c>
      <c r="B6" s="74">
        <f>IF(P39+P46&lt;0,0,P39+P46)</f>
        <v>0</v>
      </c>
      <c r="C6" s="74">
        <f>IF(I39+I46&lt;0,0,I39+I46)</f>
        <v>0</v>
      </c>
      <c r="D6" s="88"/>
      <c r="E6" s="142"/>
      <c r="I6" s="101">
        <f>IF(J$2&lt;=0,0,IF(OR(VRAGENLIJST!$D$329=dropdowns!$B$24,VRAGENLIJST!$D$329=dropdowns!$C$24,VRAGENLIJST!$D$329=dropdowns!$D$24,VRAGENLIJST!$D$329=dropdowns!$E$24),L9,0))</f>
        <v>0</v>
      </c>
      <c r="J6" s="484" t="str">
        <f>Q6</f>
        <v>Zelfstandigenaftrek (2023)</v>
      </c>
      <c r="K6" s="484"/>
      <c r="L6" s="484"/>
      <c r="M6" s="99"/>
      <c r="P6" s="101">
        <f>IF(Q$2&lt;=0,0,IF(OR(VRAGENLIJST!$H$329=dropdowns!$B$24,VRAGENLIJST!$H$329=dropdowns!$C$24,VRAGENLIJST!$H$329=dropdowns!$D$24,VRAGENLIJST!$H$329=dropdowns!$E$24),S9,0))</f>
        <v>0</v>
      </c>
      <c r="Q6" s="484" t="s">
        <v>1047</v>
      </c>
      <c r="R6" s="484"/>
      <c r="S6" s="484"/>
    </row>
    <row r="7" spans="1:20" ht="21" x14ac:dyDescent="0.55000000000000004">
      <c r="A7" s="112" t="s">
        <v>1088</v>
      </c>
      <c r="B7" s="74">
        <f>IF(P61&lt;0,0,P61)</f>
        <v>0</v>
      </c>
      <c r="C7" s="74">
        <f>IF(I61&lt;0,0,I61)</f>
        <v>0</v>
      </c>
      <c r="D7" s="88"/>
      <c r="E7" s="142"/>
      <c r="J7" s="485" t="s">
        <v>724</v>
      </c>
      <c r="K7" s="485"/>
      <c r="L7" s="103" t="s">
        <v>981</v>
      </c>
      <c r="M7" s="99"/>
      <c r="Q7" s="485" t="s">
        <v>724</v>
      </c>
      <c r="R7" s="485"/>
      <c r="S7" s="103" t="s">
        <v>981</v>
      </c>
      <c r="T7" s="99"/>
    </row>
    <row r="8" spans="1:20" ht="21" x14ac:dyDescent="0.55000000000000004">
      <c r="A8" s="112" t="s">
        <v>1086</v>
      </c>
      <c r="B8" s="74">
        <f>IF(P55&lt;0,0,P55)</f>
        <v>0</v>
      </c>
      <c r="C8" s="74">
        <f>IF(I55&lt;0,0,I55)</f>
        <v>0</v>
      </c>
      <c r="D8" s="88"/>
      <c r="E8" s="142"/>
      <c r="I8" s="102"/>
      <c r="J8" s="145" t="s">
        <v>982</v>
      </c>
      <c r="K8" s="145" t="s">
        <v>983</v>
      </c>
      <c r="L8" s="145"/>
      <c r="M8" s="99"/>
      <c r="P8" s="102"/>
      <c r="Q8" s="145" t="s">
        <v>982</v>
      </c>
      <c r="R8" s="145" t="s">
        <v>983</v>
      </c>
      <c r="S8" s="145"/>
      <c r="T8" s="99"/>
    </row>
    <row r="9" spans="1:20" ht="21" x14ac:dyDescent="0.55000000000000004">
      <c r="A9" s="112" t="s">
        <v>1057</v>
      </c>
      <c r="B9" s="74">
        <f>IF(OR(VRAGENLIJST!D4=dropdowns!$B$6,VRAGENLIJST!D4=dropdowns!$C$6,VRAGENLIJST!D4=dropdowns!$D$6,VRAGENLIJST!D4=dropdowns!$E$6),SUM(B35:E35),0)</f>
        <v>0</v>
      </c>
      <c r="C9" s="74">
        <f>IF(OR(VRAGENLIJST!D4=dropdowns!$B$6,VRAGENLIJST!D4=dropdowns!$C$6,VRAGENLIJST!D4=dropdowns!$D$6,VRAGENLIJST!D4=dropdowns!$E$6),SUM(B35:E35),0)</f>
        <v>0</v>
      </c>
      <c r="D9" s="88"/>
      <c r="E9" s="142"/>
      <c r="I9" s="102"/>
      <c r="J9" s="104">
        <f>Q9</f>
        <v>0</v>
      </c>
      <c r="K9" s="104"/>
      <c r="L9" s="104">
        <f>S9</f>
        <v>900</v>
      </c>
      <c r="M9" s="105"/>
      <c r="P9" s="102"/>
      <c r="Q9" s="104">
        <v>0</v>
      </c>
      <c r="R9" s="104"/>
      <c r="S9" s="104">
        <v>900</v>
      </c>
      <c r="T9" s="105"/>
    </row>
    <row r="10" spans="1:20" ht="15.75" thickBot="1" x14ac:dyDescent="0.3">
      <c r="A10" s="93" t="s">
        <v>980</v>
      </c>
      <c r="B10" s="114">
        <f>IF(B5-B6+B7+B8&lt;0,0,B5-B6+B7+B8)</f>
        <v>0</v>
      </c>
      <c r="C10" s="114">
        <f>IF(C5-C6+C7+C8&lt;0,0,C5-C6+C7+C8)</f>
        <v>0</v>
      </c>
      <c r="D10" s="88"/>
      <c r="E10" s="64"/>
      <c r="I10" s="102"/>
      <c r="J10" s="99"/>
      <c r="K10" s="99"/>
      <c r="L10" s="99"/>
      <c r="M10" s="99"/>
      <c r="P10" s="102"/>
      <c r="Q10" s="99"/>
      <c r="R10" s="99"/>
      <c r="S10" s="99"/>
      <c r="T10" s="99"/>
    </row>
    <row r="11" spans="1:20" ht="16.5" thickTop="1" thickBot="1" x14ac:dyDescent="0.3">
      <c r="A11" s="64"/>
      <c r="B11" s="115" t="e">
        <f>B10/Q2</f>
        <v>#DIV/0!</v>
      </c>
      <c r="C11" s="115" t="e">
        <f>C10/J2</f>
        <v>#DIV/0!</v>
      </c>
      <c r="D11" s="64"/>
      <c r="E11" s="64"/>
      <c r="I11" s="101">
        <f>IF(J$2&lt;=0,0,IF(OR(VRAGENLIJST!$D$331=dropdowns!$B$24,VRAGENLIJST!$D$331=dropdowns!$C$24,VRAGENLIJST!$D$331=dropdowns!$D$24,VRAGENLIJST!$D$331=dropdowns!$E$24),L14,0))</f>
        <v>0</v>
      </c>
      <c r="J11" s="484" t="str">
        <f>Q11</f>
        <v>Startersaftrek (2023)</v>
      </c>
      <c r="K11" s="484"/>
      <c r="L11" s="484"/>
      <c r="M11" s="99"/>
      <c r="P11" s="101">
        <f>IF(Q$2&lt;=0,0,IF(OR(VRAGENLIJST!$H$331=dropdowns!$B$24,VRAGENLIJST!$H$331=dropdowns!$C$24,VRAGENLIJST!$H$331=dropdowns!$D$24,VRAGENLIJST!$H$331=dropdowns!$E$24),S14,0))</f>
        <v>0</v>
      </c>
      <c r="Q11" s="484" t="s">
        <v>1048</v>
      </c>
      <c r="R11" s="484"/>
      <c r="S11" s="484"/>
      <c r="T11" s="99"/>
    </row>
    <row r="12" spans="1:20" ht="15.75" thickTop="1" x14ac:dyDescent="0.25">
      <c r="A12" s="80" t="s">
        <v>1052</v>
      </c>
      <c r="B12" s="81"/>
      <c r="C12" s="81"/>
      <c r="D12" s="81"/>
      <c r="E12" s="82"/>
      <c r="I12" s="102"/>
      <c r="J12" s="485" t="s">
        <v>724</v>
      </c>
      <c r="K12" s="485"/>
      <c r="L12" s="103" t="s">
        <v>981</v>
      </c>
      <c r="M12" s="99"/>
      <c r="P12" s="102"/>
      <c r="Q12" s="485" t="s">
        <v>724</v>
      </c>
      <c r="R12" s="485"/>
      <c r="S12" s="103" t="s">
        <v>981</v>
      </c>
      <c r="T12" s="99"/>
    </row>
    <row r="13" spans="1:20" ht="15" x14ac:dyDescent="0.25">
      <c r="A13" s="70" t="s">
        <v>984</v>
      </c>
      <c r="B13" s="83">
        <v>0.35820000000000002</v>
      </c>
      <c r="C13" s="84">
        <v>0.37480000000000002</v>
      </c>
      <c r="D13" s="83">
        <v>0.495</v>
      </c>
      <c r="E13" s="85"/>
      <c r="I13" s="102"/>
      <c r="J13" s="145" t="s">
        <v>982</v>
      </c>
      <c r="K13" s="145" t="s">
        <v>983</v>
      </c>
      <c r="L13" s="145"/>
      <c r="M13" s="99"/>
      <c r="P13" s="102"/>
      <c r="Q13" s="145" t="s">
        <v>982</v>
      </c>
      <c r="R13" s="145" t="s">
        <v>983</v>
      </c>
      <c r="S13" s="145"/>
      <c r="T13" s="99"/>
    </row>
    <row r="14" spans="1:20" ht="15.75" thickBot="1" x14ac:dyDescent="0.3">
      <c r="A14" s="86" t="s">
        <v>985</v>
      </c>
      <c r="B14" s="78">
        <v>38441</v>
      </c>
      <c r="C14" s="78">
        <v>76817</v>
      </c>
      <c r="D14" s="78"/>
      <c r="E14" s="79"/>
      <c r="I14" s="102"/>
      <c r="J14" s="104">
        <f>Q14</f>
        <v>0</v>
      </c>
      <c r="K14" s="104"/>
      <c r="L14" s="104">
        <f>S14</f>
        <v>2123</v>
      </c>
      <c r="M14" s="99"/>
      <c r="P14" s="102"/>
      <c r="Q14" s="104">
        <v>0</v>
      </c>
      <c r="R14" s="104"/>
      <c r="S14" s="104">
        <v>2123</v>
      </c>
      <c r="T14" s="99"/>
    </row>
    <row r="15" spans="1:20" ht="15.75" thickTop="1" x14ac:dyDescent="0.25">
      <c r="A15" s="64"/>
      <c r="B15" s="64"/>
      <c r="C15" s="64"/>
      <c r="D15" s="64"/>
      <c r="E15" s="64"/>
      <c r="I15" s="102"/>
      <c r="J15" s="99"/>
      <c r="K15" s="99"/>
      <c r="L15" s="99"/>
      <c r="M15" s="99"/>
      <c r="P15" s="102"/>
      <c r="Q15" s="99"/>
      <c r="R15" s="99"/>
      <c r="S15" s="99"/>
      <c r="T15" s="99"/>
    </row>
    <row r="16" spans="1:20" ht="15.75" thickBot="1" x14ac:dyDescent="0.3">
      <c r="A16" s="94"/>
      <c r="B16" s="64"/>
      <c r="C16" s="64"/>
      <c r="D16" s="64"/>
      <c r="E16" s="64"/>
      <c r="I16" s="101">
        <f>ROUNDUP(IF(J$2&lt;=0,0,IF(OR(VRAGENLIJST!$D$333=dropdowns!$B$25,VRAGENLIJST!$D$333=dropdowns!$C$25,VRAGENLIJST!$D$333=dropdowns!$D$25,VRAGENLIJST!$D$333=dropdowns!$E$25),0,SUM(M19:M23))),0)</f>
        <v>0</v>
      </c>
      <c r="J16" s="484" t="str">
        <f>Q16</f>
        <v>Meewerkaftrek (2023)</v>
      </c>
      <c r="K16" s="484"/>
      <c r="L16" s="484"/>
      <c r="M16" s="99"/>
      <c r="P16" s="101">
        <f>ROUNDUP(IF(Q$2&lt;=0,0,IF(OR(VRAGENLIJST!$H$333=dropdowns!$B$25,VRAGENLIJST!$H$333=dropdowns!$C$25,VRAGENLIJST!$H$333=dropdowns!$D$25,VRAGENLIJST!$H$333=dropdowns!$E$25),0,SUM(T19:T23))),0)</f>
        <v>0</v>
      </c>
      <c r="Q16" s="484" t="s">
        <v>1049</v>
      </c>
      <c r="R16" s="484"/>
      <c r="S16" s="484"/>
      <c r="T16" s="99"/>
    </row>
    <row r="17" spans="1:20" ht="15.75" thickTop="1" x14ac:dyDescent="0.25">
      <c r="A17" s="66" t="str">
        <f>B3</f>
        <v>Ondernemer:</v>
      </c>
      <c r="B17" s="67"/>
      <c r="C17" s="68"/>
      <c r="D17" s="68"/>
      <c r="E17" s="69"/>
      <c r="I17" s="102"/>
      <c r="J17" s="485" t="s">
        <v>986</v>
      </c>
      <c r="K17" s="485"/>
      <c r="L17" s="103" t="s">
        <v>981</v>
      </c>
      <c r="M17" s="99"/>
      <c r="P17" s="102"/>
      <c r="Q17" s="485" t="s">
        <v>986</v>
      </c>
      <c r="R17" s="485"/>
      <c r="S17" s="103" t="s">
        <v>981</v>
      </c>
      <c r="T17" s="99"/>
    </row>
    <row r="18" spans="1:20" ht="15" x14ac:dyDescent="0.25">
      <c r="A18" s="70" t="s">
        <v>984</v>
      </c>
      <c r="B18" s="71">
        <f>B$13</f>
        <v>0.35820000000000002</v>
      </c>
      <c r="C18" s="72">
        <f>C$13</f>
        <v>0.37480000000000002</v>
      </c>
      <c r="D18" s="71">
        <f>D$13</f>
        <v>0.495</v>
      </c>
      <c r="E18" s="73">
        <f>E$13</f>
        <v>0</v>
      </c>
      <c r="I18" s="102"/>
      <c r="J18" s="145" t="s">
        <v>982</v>
      </c>
      <c r="K18" s="145" t="s">
        <v>983</v>
      </c>
      <c r="L18" s="145"/>
      <c r="M18" s="99"/>
      <c r="P18" s="102"/>
      <c r="Q18" s="145" t="s">
        <v>982</v>
      </c>
      <c r="R18" s="145" t="s">
        <v>983</v>
      </c>
      <c r="S18" s="145"/>
      <c r="T18" s="99"/>
    </row>
    <row r="19" spans="1:20" ht="15" x14ac:dyDescent="0.25">
      <c r="A19" s="70" t="s">
        <v>985</v>
      </c>
      <c r="B19" s="74">
        <f>B$14</f>
        <v>38441</v>
      </c>
      <c r="C19" s="74">
        <f>C$14</f>
        <v>76817</v>
      </c>
      <c r="D19" s="74">
        <f>D$14</f>
        <v>0</v>
      </c>
      <c r="E19" s="75">
        <f>E$14</f>
        <v>0</v>
      </c>
      <c r="I19" s="102"/>
      <c r="J19" s="106">
        <f t="shared" ref="J19:L22" si="0">Q19</f>
        <v>0</v>
      </c>
      <c r="K19" s="106">
        <f t="shared" si="0"/>
        <v>525</v>
      </c>
      <c r="L19" s="107">
        <f t="shared" si="0"/>
        <v>0</v>
      </c>
      <c r="M19" s="105">
        <f>IF(VRAGENLIJST!$D$333=dropdowns!$A86,'IB VPB 3'!J$2*'IB VPB 3'!L19,0)</f>
        <v>0</v>
      </c>
      <c r="P19" s="102"/>
      <c r="Q19" s="106">
        <v>0</v>
      </c>
      <c r="R19" s="106">
        <v>525</v>
      </c>
      <c r="S19" s="107">
        <v>0</v>
      </c>
      <c r="T19" s="105">
        <f>IF(VRAGENLIJST!$H$333=dropdowns!$A86,'IB VPB 3'!Q$2*'IB VPB 3'!S19,0)</f>
        <v>0</v>
      </c>
    </row>
    <row r="20" spans="1:20" ht="15" x14ac:dyDescent="0.25">
      <c r="A20" s="76" t="s">
        <v>734</v>
      </c>
      <c r="B20" s="74">
        <f>IF(B4&lt;0,0,IF(B4&lt;B19,B4,B19))</f>
        <v>0</v>
      </c>
      <c r="C20" s="74">
        <f>IF(ISBLANK(C14),IF(B4&lt;B19,0,B4-B19),IF(B4&lt;B19,0,IF(B4&lt;C19,B4-B19,C19-B19)))</f>
        <v>0</v>
      </c>
      <c r="D20" s="74">
        <f>IF(AND(ISBLANK(D14),ISBLANK(C14)),0,IF(ISBLANK(D14),IF(B4&lt;C19,0,B4-C19),IF(B4&lt;C19,0,IF(B4&lt;D19,B4-C19,D19-C19))))</f>
        <v>0</v>
      </c>
      <c r="E20" s="75">
        <f>IF(AND(ISBLANK(E14),ISBLANK(D14)),0,IF(ISBLANK(E14),IF(B4&lt;D19,0,B4-D19),IF(B4&lt;D19,0,IF(B4&lt;E19,B4-D19,E19-D19))))</f>
        <v>0</v>
      </c>
      <c r="I20" s="102"/>
      <c r="J20" s="106">
        <f t="shared" si="0"/>
        <v>525</v>
      </c>
      <c r="K20" s="106">
        <f t="shared" si="0"/>
        <v>875</v>
      </c>
      <c r="L20" s="107">
        <f t="shared" si="0"/>
        <v>1.2500000000000001E-2</v>
      </c>
      <c r="M20" s="105">
        <f>IF(VRAGENLIJST!$D$333=dropdowns!$A87,'IB VPB 3'!J$2*'IB VPB 3'!L20,0)</f>
        <v>0</v>
      </c>
      <c r="P20" s="102"/>
      <c r="Q20" s="106">
        <f>R19</f>
        <v>525</v>
      </c>
      <c r="R20" s="106">
        <v>875</v>
      </c>
      <c r="S20" s="107">
        <v>1.2500000000000001E-2</v>
      </c>
      <c r="T20" s="105">
        <f>IF(VRAGENLIJST!$H$333=dropdowns!$A87,'IB VPB 3'!Q$2*'IB VPB 3'!S20,0)</f>
        <v>0</v>
      </c>
    </row>
    <row r="21" spans="1:20" ht="15.75" thickBot="1" x14ac:dyDescent="0.3">
      <c r="A21" s="77" t="s">
        <v>980</v>
      </c>
      <c r="B21" s="161">
        <f>B18*B20</f>
        <v>0</v>
      </c>
      <c r="C21" s="161">
        <f>C18*C20</f>
        <v>0</v>
      </c>
      <c r="D21" s="161">
        <f>D18*D20</f>
        <v>0</v>
      </c>
      <c r="E21" s="162">
        <f>E18*E20</f>
        <v>0</v>
      </c>
      <c r="I21" s="102"/>
      <c r="J21" s="106">
        <f t="shared" si="0"/>
        <v>875</v>
      </c>
      <c r="K21" s="106">
        <f t="shared" si="0"/>
        <v>1225</v>
      </c>
      <c r="L21" s="107">
        <f t="shared" si="0"/>
        <v>0.02</v>
      </c>
      <c r="M21" s="105">
        <f>IF(VRAGENLIJST!$D$333=dropdowns!$A88,'IB VPB 3'!J$2*'IB VPB 3'!L21,0)</f>
        <v>0</v>
      </c>
      <c r="P21" s="102"/>
      <c r="Q21" s="106">
        <f>R20</f>
        <v>875</v>
      </c>
      <c r="R21" s="106">
        <v>1225</v>
      </c>
      <c r="S21" s="107">
        <v>0.02</v>
      </c>
      <c r="T21" s="105">
        <f>IF(VRAGENLIJST!$H$333=dropdowns!$A88,'IB VPB 3'!Q$2*'IB VPB 3'!S21,0)</f>
        <v>0</v>
      </c>
    </row>
    <row r="22" spans="1:20" ht="15.75" thickTop="1" x14ac:dyDescent="0.25">
      <c r="A22" s="66" t="str">
        <f>C3</f>
        <v/>
      </c>
      <c r="B22" s="67"/>
      <c r="C22" s="68"/>
      <c r="D22" s="68"/>
      <c r="E22" s="69"/>
      <c r="I22" s="102"/>
      <c r="J22" s="106">
        <f t="shared" si="0"/>
        <v>1225</v>
      </c>
      <c r="K22" s="106">
        <f t="shared" si="0"/>
        <v>1750</v>
      </c>
      <c r="L22" s="107">
        <f t="shared" si="0"/>
        <v>0.03</v>
      </c>
      <c r="M22" s="105">
        <f>IF(VRAGENLIJST!$D$333=dropdowns!$A89,'IB VPB 3'!J$2*'IB VPB 3'!L22,0)</f>
        <v>0</v>
      </c>
      <c r="P22" s="102"/>
      <c r="Q22" s="106">
        <f>R21</f>
        <v>1225</v>
      </c>
      <c r="R22" s="106">
        <v>1750</v>
      </c>
      <c r="S22" s="107">
        <v>0.03</v>
      </c>
      <c r="T22" s="105">
        <f>IF(VRAGENLIJST!$H$333=dropdowns!$A89,'IB VPB 3'!Q$2*'IB VPB 3'!S22,0)</f>
        <v>0</v>
      </c>
    </row>
    <row r="23" spans="1:20" ht="15" x14ac:dyDescent="0.25">
      <c r="A23" s="70" t="s">
        <v>984</v>
      </c>
      <c r="B23" s="71">
        <f>B$13</f>
        <v>0.35820000000000002</v>
      </c>
      <c r="C23" s="72">
        <f>C$13</f>
        <v>0.37480000000000002</v>
      </c>
      <c r="D23" s="71">
        <f>D$13</f>
        <v>0.495</v>
      </c>
      <c r="E23" s="73">
        <f>E$13</f>
        <v>0</v>
      </c>
      <c r="I23" s="102"/>
      <c r="J23" s="106">
        <f>Q23</f>
        <v>1750</v>
      </c>
      <c r="K23" s="106"/>
      <c r="L23" s="107">
        <f>S23</f>
        <v>0.04</v>
      </c>
      <c r="M23" s="105">
        <f>IF(VRAGENLIJST!$D$333=dropdowns!$A90,'IB VPB 3'!J$2*'IB VPB 3'!L23,0)</f>
        <v>0</v>
      </c>
      <c r="P23" s="102"/>
      <c r="Q23" s="106">
        <f>R22</f>
        <v>1750</v>
      </c>
      <c r="R23" s="106"/>
      <c r="S23" s="107">
        <v>0.04</v>
      </c>
      <c r="T23" s="105">
        <f>IF(VRAGENLIJST!$H$333=dropdowns!$A90,'IB VPB 3'!Q$2*'IB VPB 3'!S23,0)</f>
        <v>0</v>
      </c>
    </row>
    <row r="24" spans="1:20" ht="15" x14ac:dyDescent="0.25">
      <c r="A24" s="70" t="s">
        <v>985</v>
      </c>
      <c r="B24" s="74">
        <f>B$14</f>
        <v>38441</v>
      </c>
      <c r="C24" s="74">
        <f>C$14</f>
        <v>76817</v>
      </c>
      <c r="D24" s="74">
        <f>D$14</f>
        <v>0</v>
      </c>
      <c r="E24" s="75">
        <f>E14</f>
        <v>0</v>
      </c>
      <c r="I24" s="102"/>
      <c r="J24" s="99"/>
      <c r="K24" s="99"/>
      <c r="L24" s="99"/>
      <c r="M24" s="99"/>
      <c r="P24" s="102"/>
      <c r="Q24" s="99"/>
      <c r="R24" s="99"/>
      <c r="S24" s="99"/>
      <c r="T24" s="99"/>
    </row>
    <row r="25" spans="1:20" ht="15" x14ac:dyDescent="0.25">
      <c r="A25" s="76" t="s">
        <v>734</v>
      </c>
      <c r="B25" s="74">
        <f>IF(C4&lt;0,0,IF(C4&lt;B19,C4,B19))</f>
        <v>0</v>
      </c>
      <c r="C25" s="74">
        <f>IF(ISBLANK(C14),IF(C4&lt;B19,0,C4-B19),IF(C4&lt;B19,0,IF(C4&lt;C19,C4-B19,C19-B19)))</f>
        <v>0</v>
      </c>
      <c r="D25" s="74">
        <f>IF(AND(ISBLANK(D14),ISBLANK(C14)),0,IF(ISBLANK(D14),IF(C4&lt;C19,0,C4-C19),IF(C4&lt;C19,0,IF(C4&lt;D19,C4-C19,D19-C19))))</f>
        <v>0</v>
      </c>
      <c r="E25" s="75">
        <f>IF(AND(ISBLANK(E14),ISBLANK(D14)),0,IF(ISBLANK(E14),IF(C4&lt;D19,0,C4-D19),IF(C4&lt;D19,0,IF(C4&lt;E19,C4-D19,E19-D19))))</f>
        <v>0</v>
      </c>
      <c r="I25" s="101">
        <f>ROUNDUP(SUM(M28:M32),0)</f>
        <v>0</v>
      </c>
      <c r="J25" s="484" t="str">
        <f>Q25</f>
        <v>Investeringsaftrek (2023)</v>
      </c>
      <c r="K25" s="484"/>
      <c r="L25" s="484"/>
      <c r="M25" s="99"/>
      <c r="P25" s="101">
        <f>ROUNDUP(SUM(T28:T32),0)</f>
        <v>0</v>
      </c>
      <c r="Q25" s="484" t="s">
        <v>1050</v>
      </c>
      <c r="R25" s="484"/>
      <c r="S25" s="484"/>
      <c r="T25" s="99"/>
    </row>
    <row r="26" spans="1:20" ht="15.75" thickBot="1" x14ac:dyDescent="0.3">
      <c r="A26" s="77" t="s">
        <v>980</v>
      </c>
      <c r="B26" s="161">
        <f>B23*B25</f>
        <v>0</v>
      </c>
      <c r="C26" s="161">
        <f>C23*C25</f>
        <v>0</v>
      </c>
      <c r="D26" s="161">
        <f>D23*D25</f>
        <v>0</v>
      </c>
      <c r="E26" s="162">
        <f>E23*E25</f>
        <v>0</v>
      </c>
      <c r="I26" s="102"/>
      <c r="J26" s="485" t="s">
        <v>987</v>
      </c>
      <c r="K26" s="485"/>
      <c r="L26" s="103" t="s">
        <v>981</v>
      </c>
      <c r="M26" s="99"/>
      <c r="P26" s="102"/>
      <c r="Q26" s="485" t="s">
        <v>987</v>
      </c>
      <c r="R26" s="485"/>
      <c r="S26" s="103" t="s">
        <v>981</v>
      </c>
      <c r="T26" s="99"/>
    </row>
    <row r="27" spans="1:20" ht="15.75" thickTop="1" x14ac:dyDescent="0.25">
      <c r="A27" s="163"/>
      <c r="B27" s="164"/>
      <c r="C27" s="164"/>
      <c r="D27" s="164"/>
      <c r="E27" s="164"/>
      <c r="I27" s="102"/>
      <c r="J27" s="145" t="s">
        <v>982</v>
      </c>
      <c r="K27" s="145" t="s">
        <v>983</v>
      </c>
      <c r="L27" s="145"/>
      <c r="M27" s="99"/>
      <c r="P27" s="102"/>
      <c r="Q27" s="145" t="s">
        <v>982</v>
      </c>
      <c r="R27" s="145" t="s">
        <v>983</v>
      </c>
      <c r="S27" s="145"/>
      <c r="T27" s="99"/>
    </row>
    <row r="28" spans="1:20" ht="13.5" thickBot="1" x14ac:dyDescent="0.25">
      <c r="I28" s="102"/>
      <c r="J28" s="108">
        <f t="shared" ref="J28:L31" si="1">Q28</f>
        <v>0</v>
      </c>
      <c r="K28" s="108">
        <f t="shared" si="1"/>
        <v>2900</v>
      </c>
      <c r="L28" s="107">
        <f t="shared" si="1"/>
        <v>0</v>
      </c>
      <c r="M28" s="105">
        <f>IF(AND(J$3&gt;=J28,J$3&lt;K28),L28*J$3,0)</f>
        <v>0</v>
      </c>
      <c r="P28" s="102"/>
      <c r="Q28" s="108">
        <v>0</v>
      </c>
      <c r="R28" s="108">
        <v>2900</v>
      </c>
      <c r="S28" s="107">
        <v>0</v>
      </c>
      <c r="T28" s="105">
        <f>IF(AND(Q$3&gt;=Q28,Q$3&lt;R28),S28*Q$3,0)</f>
        <v>0</v>
      </c>
    </row>
    <row r="29" spans="1:20" ht="15.75" thickTop="1" x14ac:dyDescent="0.25">
      <c r="A29" s="80" t="s">
        <v>1056</v>
      </c>
      <c r="B29" s="81"/>
      <c r="C29" s="81"/>
      <c r="D29" s="81"/>
      <c r="E29" s="82"/>
      <c r="I29" s="102"/>
      <c r="J29" s="104">
        <f t="shared" si="1"/>
        <v>2900</v>
      </c>
      <c r="K29" s="104">
        <f t="shared" si="1"/>
        <v>70602</v>
      </c>
      <c r="L29" s="107">
        <f t="shared" si="1"/>
        <v>0.28000000000000003</v>
      </c>
      <c r="M29" s="105">
        <f>IF(AND(J$3&gt;=J29,J$3&lt;K29),L29*J$3,0)</f>
        <v>0</v>
      </c>
      <c r="P29" s="102"/>
      <c r="Q29" s="104">
        <f>R28</f>
        <v>2900</v>
      </c>
      <c r="R29" s="104">
        <v>70602</v>
      </c>
      <c r="S29" s="107">
        <v>0.28000000000000003</v>
      </c>
      <c r="T29" s="105">
        <f>IF(AND(Q$3&gt;=Q29,Q$3&lt;R29),S29*Q$3,0)</f>
        <v>0</v>
      </c>
    </row>
    <row r="30" spans="1:20" ht="15" x14ac:dyDescent="0.25">
      <c r="A30" s="70" t="s">
        <v>984</v>
      </c>
      <c r="B30" s="83">
        <v>0.19</v>
      </c>
      <c r="C30" s="84">
        <v>0.25800000000000001</v>
      </c>
      <c r="D30" s="83"/>
      <c r="E30" s="85"/>
      <c r="I30" s="102"/>
      <c r="J30" s="104">
        <f t="shared" si="1"/>
        <v>70602</v>
      </c>
      <c r="K30" s="104">
        <f t="shared" si="1"/>
        <v>130744</v>
      </c>
      <c r="L30" s="104">
        <f t="shared" si="1"/>
        <v>19769</v>
      </c>
      <c r="M30" s="105">
        <f>IF(AND(J$3&gt;=J30,J$3&lt;K30),L30,0)</f>
        <v>0</v>
      </c>
      <c r="P30" s="102"/>
      <c r="Q30" s="104">
        <f>R29</f>
        <v>70602</v>
      </c>
      <c r="R30" s="104">
        <v>130744</v>
      </c>
      <c r="S30" s="104">
        <v>19769</v>
      </c>
      <c r="T30" s="105">
        <f>IF(AND(Q$3&gt;=Q30,Q$3&lt;R30),S30,0)</f>
        <v>0</v>
      </c>
    </row>
    <row r="31" spans="1:20" ht="15.75" thickBot="1" x14ac:dyDescent="0.3">
      <c r="A31" s="86" t="s">
        <v>985</v>
      </c>
      <c r="B31" s="78">
        <v>200000</v>
      </c>
      <c r="C31" s="78"/>
      <c r="D31" s="78"/>
      <c r="E31" s="79"/>
      <c r="I31" s="102"/>
      <c r="J31" s="104">
        <f t="shared" si="1"/>
        <v>130744</v>
      </c>
      <c r="K31" s="104">
        <f t="shared" si="1"/>
        <v>392230</v>
      </c>
      <c r="L31" s="107">
        <f t="shared" si="1"/>
        <v>7.5600000000000001E-2</v>
      </c>
      <c r="M31" s="105">
        <f>IF(AND(J$3&gt;=J31,J$3&lt;K31),L30-((J$3-100000)*L31),0)</f>
        <v>0</v>
      </c>
      <c r="P31" s="102"/>
      <c r="Q31" s="104">
        <f>R30</f>
        <v>130744</v>
      </c>
      <c r="R31" s="104">
        <v>392230</v>
      </c>
      <c r="S31" s="107">
        <v>7.5600000000000001E-2</v>
      </c>
      <c r="T31" s="105">
        <f>IF(AND(Q$3&gt;=Q31,Q$3&lt;R31),S30-((Q$3-100000)*S31),0)</f>
        <v>0</v>
      </c>
    </row>
    <row r="32" spans="1:20" ht="14.25" thickTop="1" thickBot="1" x14ac:dyDescent="0.25">
      <c r="I32" s="102"/>
      <c r="J32" s="104">
        <f>Q32</f>
        <v>392230</v>
      </c>
      <c r="K32" s="104"/>
      <c r="L32" s="107">
        <f>S32</f>
        <v>0</v>
      </c>
      <c r="M32" s="105">
        <f>IF(J$3&gt;=J32,J$3*L32,0)</f>
        <v>0</v>
      </c>
      <c r="P32" s="102"/>
      <c r="Q32" s="104">
        <f>R31</f>
        <v>392230</v>
      </c>
      <c r="R32" s="104"/>
      <c r="S32" s="107">
        <v>0</v>
      </c>
      <c r="T32" s="105">
        <f>IF(Q$3&gt;=Q32,Q$3*S32,0)</f>
        <v>0</v>
      </c>
    </row>
    <row r="33" spans="1:21" ht="15.75" thickTop="1" x14ac:dyDescent="0.25">
      <c r="A33" s="66" t="s">
        <v>1057</v>
      </c>
      <c r="B33" s="67"/>
      <c r="C33" s="68"/>
      <c r="D33" s="68"/>
      <c r="E33" s="69"/>
      <c r="I33" s="102"/>
      <c r="J33" s="99"/>
      <c r="K33" s="99"/>
      <c r="L33" s="99"/>
      <c r="M33" s="99"/>
      <c r="P33" s="102"/>
      <c r="Q33" s="99"/>
      <c r="R33" s="99"/>
      <c r="S33" s="99"/>
      <c r="T33" s="99"/>
    </row>
    <row r="34" spans="1:21" ht="15" x14ac:dyDescent="0.25">
      <c r="A34" s="76" t="s">
        <v>734</v>
      </c>
      <c r="B34" s="74">
        <f>IF(G5&lt;0,0,IF(G5&lt;B31,G5,B31))</f>
        <v>0</v>
      </c>
      <c r="C34" s="74">
        <f>IF(ISBLANK(C31),IF(G5&lt;B31,0,G5-B31),IF(G5&lt;B31,0,IF(G5&lt;B31,G5-B31,C31-B31)))</f>
        <v>0</v>
      </c>
      <c r="D34" s="74">
        <f>IF(AND(ISBLANK(D31),ISBLANK(C31)),0,IF(ISBLANK(D31),IF(G5&lt;C31,0,G5-C31),IF(G5&lt;C31,0,IF(G5&lt;D31,G5-C31,D31-C31))))</f>
        <v>0</v>
      </c>
      <c r="E34" s="165">
        <f>IF(AND(ISBLANK(E31),ISBLANK(D31)),0,IF(ISBLANK(E31),IF(G5&lt;D31,0,G5-D31),IF(G5&lt;D31,0,IF(G5&lt;E31,G5-D31,E31-D31))))</f>
        <v>0</v>
      </c>
      <c r="I34" s="102"/>
      <c r="J34" s="484" t="str">
        <f>Q34</f>
        <v>MKB-winstvrijstelling (2023)</v>
      </c>
      <c r="K34" s="484"/>
      <c r="L34" s="484"/>
      <c r="M34" s="99"/>
      <c r="P34" s="102"/>
      <c r="Q34" s="484" t="s">
        <v>1051</v>
      </c>
      <c r="R34" s="484"/>
      <c r="S34" s="484"/>
      <c r="T34" s="99"/>
    </row>
    <row r="35" spans="1:21" ht="15.75" thickBot="1" x14ac:dyDescent="0.3">
      <c r="A35" s="77" t="s">
        <v>1057</v>
      </c>
      <c r="B35" s="161">
        <f>B34*B30</f>
        <v>0</v>
      </c>
      <c r="C35" s="161">
        <f>C34*C30</f>
        <v>0</v>
      </c>
      <c r="D35" s="161"/>
      <c r="E35" s="162"/>
      <c r="I35" s="102"/>
      <c r="J35" s="485" t="s">
        <v>988</v>
      </c>
      <c r="K35" s="485"/>
      <c r="L35" s="103" t="s">
        <v>981</v>
      </c>
      <c r="M35" s="99"/>
      <c r="P35" s="102"/>
      <c r="Q35" s="485" t="s">
        <v>988</v>
      </c>
      <c r="R35" s="485"/>
      <c r="S35" s="103" t="s">
        <v>981</v>
      </c>
      <c r="T35" s="99"/>
    </row>
    <row r="36" spans="1:21" ht="13.5" thickTop="1" x14ac:dyDescent="0.2">
      <c r="I36" s="101">
        <f>ROUNDUP(IF(J$2-I$6-I$11-I$16&lt;0,0,(J$2-I$6-I$11-I$16)*L$37),0)</f>
        <v>0</v>
      </c>
      <c r="J36" s="145" t="s">
        <v>982</v>
      </c>
      <c r="K36" s="145" t="s">
        <v>983</v>
      </c>
      <c r="L36" s="145"/>
      <c r="M36" s="99"/>
      <c r="P36" s="101">
        <f>ROUNDUP(IF(Q$2-P$6-P$11-P$16&lt;0,0,(Q$2-P$6-P$11-P$16)*S$37),0)</f>
        <v>0</v>
      </c>
      <c r="Q36" s="145" t="s">
        <v>982</v>
      </c>
      <c r="R36" s="145" t="s">
        <v>983</v>
      </c>
      <c r="S36" s="145"/>
      <c r="T36" s="99"/>
    </row>
    <row r="37" spans="1:21" x14ac:dyDescent="0.2">
      <c r="I37" s="96"/>
      <c r="J37" s="104">
        <f>Q37</f>
        <v>0</v>
      </c>
      <c r="K37" s="104"/>
      <c r="L37" s="107">
        <f>S37</f>
        <v>0.127</v>
      </c>
      <c r="M37" s="109"/>
      <c r="P37" s="96"/>
      <c r="Q37" s="104">
        <v>0</v>
      </c>
      <c r="R37" s="104"/>
      <c r="S37" s="107">
        <v>0.127</v>
      </c>
      <c r="T37" s="109"/>
    </row>
    <row r="38" spans="1:21" x14ac:dyDescent="0.2">
      <c r="I38" s="96"/>
      <c r="J38" s="89"/>
      <c r="K38" s="89"/>
      <c r="L38" s="89"/>
      <c r="M38" s="89"/>
      <c r="P38" s="96"/>
      <c r="Q38" s="89"/>
      <c r="R38" s="89"/>
      <c r="S38" s="89"/>
      <c r="T38" s="89"/>
    </row>
    <row r="39" spans="1:21" x14ac:dyDescent="0.2">
      <c r="I39" s="101">
        <f>ROUNDUP(SUM(L42:L44),0)</f>
        <v>0</v>
      </c>
      <c r="J39" s="484" t="str">
        <f>Q39</f>
        <v>Heffingskorting (2023)</v>
      </c>
      <c r="K39" s="484"/>
      <c r="L39" s="484"/>
      <c r="P39" s="101">
        <f>ROUNDUP(SUM(S42:S44),0)</f>
        <v>0</v>
      </c>
      <c r="Q39" s="484" t="s">
        <v>1053</v>
      </c>
      <c r="R39" s="484"/>
      <c r="S39" s="484"/>
      <c r="T39"/>
    </row>
    <row r="40" spans="1:21" x14ac:dyDescent="0.2">
      <c r="J40" s="485" t="s">
        <v>734</v>
      </c>
      <c r="K40" s="485"/>
      <c r="L40" s="103" t="s">
        <v>989</v>
      </c>
      <c r="Q40" s="485" t="s">
        <v>734</v>
      </c>
      <c r="R40" s="485"/>
      <c r="S40" s="103" t="s">
        <v>989</v>
      </c>
    </row>
    <row r="41" spans="1:21" x14ac:dyDescent="0.2">
      <c r="J41" s="145" t="s">
        <v>982</v>
      </c>
      <c r="K41" s="145" t="s">
        <v>983</v>
      </c>
      <c r="L41" s="145"/>
      <c r="Q41" s="145" t="s">
        <v>982</v>
      </c>
      <c r="R41" s="145" t="s">
        <v>983</v>
      </c>
      <c r="S41" s="145"/>
    </row>
    <row r="42" spans="1:21" x14ac:dyDescent="0.2">
      <c r="J42" s="108">
        <f>Q42</f>
        <v>0</v>
      </c>
      <c r="K42" s="108">
        <f>R42</f>
        <v>28406</v>
      </c>
      <c r="L42" s="104">
        <f>IF(AND($C$4&gt;J42,$C$4&lt;K42),M42,0)</f>
        <v>0</v>
      </c>
      <c r="M42" s="105">
        <f t="shared" ref="M42:N44" si="2">T42</f>
        <v>3068</v>
      </c>
      <c r="N42" s="88">
        <f t="shared" si="2"/>
        <v>0</v>
      </c>
      <c r="Q42" s="108">
        <v>0</v>
      </c>
      <c r="R42" s="108">
        <v>28406</v>
      </c>
      <c r="S42" s="104">
        <f>IF(AND($C$4&gt;Q42,$C$4&lt;R42),T42,0)</f>
        <v>0</v>
      </c>
      <c r="T42" s="105">
        <v>3068</v>
      </c>
      <c r="U42" s="88"/>
    </row>
    <row r="43" spans="1:21" x14ac:dyDescent="0.2">
      <c r="J43" s="104">
        <f>Q43</f>
        <v>28406</v>
      </c>
      <c r="K43" s="104">
        <f>R43</f>
        <v>76817</v>
      </c>
      <c r="L43" s="104">
        <f>IF(AND($C$4&gt;=J43,$C$4&lt;K43),M43-N43*($C$4-J43),0)</f>
        <v>0</v>
      </c>
      <c r="M43" s="105">
        <f t="shared" si="2"/>
        <v>3068</v>
      </c>
      <c r="N43" s="88">
        <f t="shared" si="2"/>
        <v>6.3369999999999996E-2</v>
      </c>
      <c r="Q43" s="104">
        <f>R42</f>
        <v>28406</v>
      </c>
      <c r="R43" s="104">
        <v>76817</v>
      </c>
      <c r="S43" s="104">
        <f>IF(AND($B$4&gt;=Q43,$B$4&lt;R43),T43-U43*($B$4-Q43),0)</f>
        <v>0</v>
      </c>
      <c r="T43" s="105">
        <v>3068</v>
      </c>
      <c r="U43" s="88">
        <v>6.3369999999999996E-2</v>
      </c>
    </row>
    <row r="44" spans="1:21" x14ac:dyDescent="0.2">
      <c r="J44" s="104">
        <f>Q44</f>
        <v>76817</v>
      </c>
      <c r="K44" s="104"/>
      <c r="L44" s="104">
        <f>IF($C$4&gt;=J44,M44,0)</f>
        <v>0</v>
      </c>
      <c r="M44" s="105">
        <f t="shared" si="2"/>
        <v>0</v>
      </c>
      <c r="N44" s="88">
        <f t="shared" si="2"/>
        <v>0</v>
      </c>
      <c r="Q44" s="104">
        <f>R43</f>
        <v>76817</v>
      </c>
      <c r="R44" s="104"/>
      <c r="S44" s="104">
        <f>IF($B$4&gt;=Q44,T44,0)</f>
        <v>0</v>
      </c>
      <c r="T44" s="105">
        <v>0</v>
      </c>
      <c r="U44" s="88"/>
    </row>
    <row r="45" spans="1:21" x14ac:dyDescent="0.2">
      <c r="J45" s="88"/>
      <c r="K45" s="88"/>
      <c r="L45" s="88"/>
      <c r="Q45" s="88"/>
      <c r="R45" s="88"/>
      <c r="S45" s="88"/>
    </row>
    <row r="46" spans="1:21" x14ac:dyDescent="0.2">
      <c r="I46" s="101">
        <f>ROUNDUP(SUM(L49:L53),0)</f>
        <v>0</v>
      </c>
      <c r="J46" s="484" t="str">
        <f>Q46</f>
        <v>Arbeidskorting (2023)</v>
      </c>
      <c r="K46" s="484"/>
      <c r="L46" s="484"/>
      <c r="P46" s="101">
        <f>ROUNDUP(SUM(S49:S53),0)</f>
        <v>0</v>
      </c>
      <c r="Q46" s="484" t="s">
        <v>1054</v>
      </c>
      <c r="R46" s="484"/>
      <c r="S46" s="484"/>
      <c r="T46"/>
    </row>
    <row r="47" spans="1:21" x14ac:dyDescent="0.2">
      <c r="J47" s="485" t="s">
        <v>734</v>
      </c>
      <c r="K47" s="485"/>
      <c r="L47" s="103" t="s">
        <v>989</v>
      </c>
      <c r="Q47" s="485" t="s">
        <v>734</v>
      </c>
      <c r="R47" s="485"/>
      <c r="S47" s="103" t="s">
        <v>989</v>
      </c>
    </row>
    <row r="48" spans="1:21" x14ac:dyDescent="0.2">
      <c r="J48" s="145" t="s">
        <v>982</v>
      </c>
      <c r="K48" s="145" t="s">
        <v>983</v>
      </c>
      <c r="L48" s="145"/>
      <c r="Q48" s="145" t="s">
        <v>982</v>
      </c>
      <c r="R48" s="145" t="s">
        <v>983</v>
      </c>
      <c r="S48" s="145"/>
    </row>
    <row r="49" spans="9:21" x14ac:dyDescent="0.2">
      <c r="J49" s="108">
        <f t="shared" ref="J49:K52" si="3">Q49</f>
        <v>0</v>
      </c>
      <c r="K49" s="108">
        <f t="shared" si="3"/>
        <v>12169</v>
      </c>
      <c r="L49" s="104">
        <f>IF(AND(J2&gt;J49,J2&lt;K49),N49*J2,0)</f>
        <v>0</v>
      </c>
      <c r="M49" s="105">
        <f t="shared" ref="M49:N53" si="4">T49</f>
        <v>0</v>
      </c>
      <c r="N49" s="88">
        <f t="shared" si="4"/>
        <v>8.0530000000000004E-2</v>
      </c>
      <c r="Q49" s="108">
        <v>0</v>
      </c>
      <c r="R49" s="108">
        <v>12169</v>
      </c>
      <c r="S49" s="104">
        <f>IF(AND(Q2&gt;Q49,Q2&lt;R49),U49*Q2,0)</f>
        <v>0</v>
      </c>
      <c r="T49" s="105"/>
      <c r="U49" s="88">
        <v>8.0530000000000004E-2</v>
      </c>
    </row>
    <row r="50" spans="9:21" x14ac:dyDescent="0.2">
      <c r="J50" s="104">
        <f t="shared" si="3"/>
        <v>12169</v>
      </c>
      <c r="K50" s="104">
        <f t="shared" si="3"/>
        <v>26288</v>
      </c>
      <c r="L50" s="104">
        <f>IF(AND(J2&gt;=J50,J2&lt;K50),M50+N50*(J2-J50),0)</f>
        <v>0</v>
      </c>
      <c r="M50" s="105">
        <f t="shared" si="4"/>
        <v>980</v>
      </c>
      <c r="N50" s="88">
        <f t="shared" si="4"/>
        <v>0.30030000000000001</v>
      </c>
      <c r="Q50" s="104">
        <f>R49</f>
        <v>12169</v>
      </c>
      <c r="R50" s="104">
        <v>26288</v>
      </c>
      <c r="S50" s="104">
        <f>IF(AND(Q2&gt;=Q50,Q2&lt;R50),T50+U50*(Q2-Q50),0)</f>
        <v>0</v>
      </c>
      <c r="T50" s="105">
        <v>980</v>
      </c>
      <c r="U50" s="88">
        <v>0.30030000000000001</v>
      </c>
    </row>
    <row r="51" spans="9:21" x14ac:dyDescent="0.2">
      <c r="J51" s="104">
        <f t="shared" si="3"/>
        <v>26288</v>
      </c>
      <c r="K51" s="104">
        <f t="shared" si="3"/>
        <v>43071</v>
      </c>
      <c r="L51" s="104">
        <f>IF(AND(J2&gt;=J51,J2&lt;K51),M51,0)</f>
        <v>0</v>
      </c>
      <c r="M51" s="105">
        <f t="shared" si="4"/>
        <v>5220</v>
      </c>
      <c r="N51" s="88">
        <f t="shared" si="4"/>
        <v>2.2579999999999999E-2</v>
      </c>
      <c r="Q51" s="104">
        <f>R50</f>
        <v>26288</v>
      </c>
      <c r="R51" s="104">
        <v>43071</v>
      </c>
      <c r="S51" s="104">
        <f>IF(AND(Q2&gt;=Q51,Q2&lt;R51),T51+U51*(Q2-Q51),0)</f>
        <v>0</v>
      </c>
      <c r="T51" s="105">
        <v>5220</v>
      </c>
      <c r="U51" s="88">
        <v>2.2579999999999999E-2</v>
      </c>
    </row>
    <row r="52" spans="9:21" x14ac:dyDescent="0.2">
      <c r="J52" s="104">
        <f t="shared" si="3"/>
        <v>43071</v>
      </c>
      <c r="K52" s="104">
        <f t="shared" si="3"/>
        <v>129078</v>
      </c>
      <c r="L52" s="104">
        <f>IF(AND(J2&gt;=J52,J2&lt;K52),M52-N52*(J2-J52),0)</f>
        <v>0</v>
      </c>
      <c r="M52" s="105">
        <f t="shared" si="4"/>
        <v>5599</v>
      </c>
      <c r="N52" s="88">
        <f t="shared" si="4"/>
        <v>6.5100000000000005E-2</v>
      </c>
      <c r="Q52" s="104">
        <f>R51</f>
        <v>43071</v>
      </c>
      <c r="R52" s="104">
        <v>129078</v>
      </c>
      <c r="S52" s="104">
        <f>IF(AND(Q2&gt;=Q52,Q2&lt;R52),T52-U52*(Q2-Q52),0)</f>
        <v>0</v>
      </c>
      <c r="T52" s="105">
        <v>5599</v>
      </c>
      <c r="U52" s="88">
        <v>6.5100000000000005E-2</v>
      </c>
    </row>
    <row r="53" spans="9:21" x14ac:dyDescent="0.2">
      <c r="J53" s="104">
        <f>Q53</f>
        <v>129078</v>
      </c>
      <c r="K53" s="104"/>
      <c r="L53" s="104">
        <f>IF(J2&gt;=J53,M53,0)</f>
        <v>0</v>
      </c>
      <c r="M53" s="105">
        <f t="shared" si="4"/>
        <v>0</v>
      </c>
      <c r="N53" s="88">
        <f t="shared" si="4"/>
        <v>0</v>
      </c>
      <c r="Q53" s="104">
        <f>R52</f>
        <v>129078</v>
      </c>
      <c r="R53" s="104"/>
      <c r="S53" s="104">
        <f>IF(Q2&gt;=Q53,T53,0)</f>
        <v>0</v>
      </c>
      <c r="T53" s="105">
        <v>0</v>
      </c>
      <c r="U53" s="88"/>
    </row>
    <row r="55" spans="9:21" x14ac:dyDescent="0.2">
      <c r="I55" s="101">
        <f>ROUNDDOWN(SUM(M58:M59),0)</f>
        <v>0</v>
      </c>
      <c r="J55" s="484" t="str">
        <f>Q55</f>
        <v>Inkomensafhankelijke bijdrage Zvw</v>
      </c>
      <c r="K55" s="484"/>
      <c r="L55" s="484"/>
      <c r="P55" s="101">
        <f>ROUNDDOWN(SUM(T58:T59),0)</f>
        <v>0</v>
      </c>
      <c r="Q55" s="484" t="s">
        <v>1084</v>
      </c>
      <c r="R55" s="484"/>
      <c r="S55" s="484"/>
    </row>
    <row r="56" spans="9:21" x14ac:dyDescent="0.2">
      <c r="J56" s="485" t="str">
        <f>Q56</f>
        <v>Belastbaar inkomen</v>
      </c>
      <c r="K56" s="485"/>
      <c r="L56" s="103" t="str">
        <f>S56</f>
        <v>Bijdrage</v>
      </c>
      <c r="Q56" s="485" t="s">
        <v>734</v>
      </c>
      <c r="R56" s="485"/>
      <c r="S56" s="103" t="s">
        <v>1085</v>
      </c>
    </row>
    <row r="57" spans="9:21" x14ac:dyDescent="0.2">
      <c r="J57" s="145" t="str">
        <f>Q57</f>
        <v>van</v>
      </c>
      <c r="K57" s="145" t="str">
        <f>R57</f>
        <v>tot</v>
      </c>
      <c r="L57" s="145"/>
      <c r="Q57" s="145" t="s">
        <v>982</v>
      </c>
      <c r="R57" s="145" t="s">
        <v>983</v>
      </c>
      <c r="S57" s="145"/>
    </row>
    <row r="58" spans="9:21" x14ac:dyDescent="0.2">
      <c r="J58" s="108">
        <f>Q58</f>
        <v>0</v>
      </c>
      <c r="K58" s="108">
        <f>R58</f>
        <v>75860</v>
      </c>
      <c r="L58" s="169">
        <f>S58</f>
        <v>5.2600000000000001E-2</v>
      </c>
      <c r="M58" s="105">
        <f>IF(AND(C4&gt;=J58,C4&lt;K58),L58*C4,IF(C4&gt;K58,K58*L58,0))</f>
        <v>0</v>
      </c>
      <c r="N58" s="166"/>
      <c r="Q58" s="108">
        <v>0</v>
      </c>
      <c r="R58" s="108">
        <v>75860</v>
      </c>
      <c r="S58" s="168">
        <v>5.2600000000000001E-2</v>
      </c>
      <c r="T58" s="105">
        <f>IF(AND(B4&gt;=Q58,B4&lt;R58),S58*B4,IF(B4&gt;R58,R58*S58,0))</f>
        <v>0</v>
      </c>
    </row>
    <row r="59" spans="9:21" x14ac:dyDescent="0.2">
      <c r="J59" s="108">
        <f>Q59</f>
        <v>75860</v>
      </c>
      <c r="K59" s="108">
        <f>R59</f>
        <v>0</v>
      </c>
      <c r="L59" s="169">
        <f>S59</f>
        <v>0</v>
      </c>
      <c r="M59" s="105">
        <f>IF(J$2&gt;=J59,J$2*L59,0)</f>
        <v>0</v>
      </c>
      <c r="Q59" s="108">
        <f>R58</f>
        <v>75860</v>
      </c>
      <c r="R59" s="108"/>
      <c r="S59" s="168">
        <v>0</v>
      </c>
      <c r="T59" s="105">
        <f>IF(Q$2&gt;=Q59,Q$2*S59,0)</f>
        <v>0</v>
      </c>
    </row>
    <row r="61" spans="9:21" x14ac:dyDescent="0.2">
      <c r="I61" s="101">
        <f>ROUNDDOWN(IF(J2&gt;C14,MIN(J2-C14,J4),0)*L64,0)</f>
        <v>0</v>
      </c>
      <c r="J61" s="484" t="str">
        <f>Q61</f>
        <v>Tariefsaanpassing aftrekposten</v>
      </c>
      <c r="K61" s="484"/>
      <c r="L61" s="484"/>
      <c r="O61" s="167"/>
      <c r="P61" s="101">
        <f>ROUNDDOWN(IF(Q2&gt;C14,MIN(Q2-C14,Q4),0)*S64,0)</f>
        <v>0</v>
      </c>
      <c r="Q61" s="484" t="s">
        <v>1087</v>
      </c>
      <c r="R61" s="484"/>
      <c r="S61" s="484"/>
    </row>
    <row r="62" spans="9:21" x14ac:dyDescent="0.2">
      <c r="J62" s="485" t="str">
        <f>Q62</f>
        <v>Belastbaar inkomen</v>
      </c>
      <c r="K62" s="485"/>
      <c r="L62" s="103" t="str">
        <f>S62</f>
        <v>Aftrek</v>
      </c>
      <c r="Q62" s="485" t="s">
        <v>734</v>
      </c>
      <c r="R62" s="485"/>
      <c r="S62" s="103" t="s">
        <v>981</v>
      </c>
    </row>
    <row r="63" spans="9:21" x14ac:dyDescent="0.2">
      <c r="J63" s="145" t="str">
        <f>Q63</f>
        <v>van</v>
      </c>
      <c r="K63" s="145" t="str">
        <f>R63</f>
        <v>tot</v>
      </c>
      <c r="L63" s="145"/>
      <c r="Q63" s="145" t="s">
        <v>982</v>
      </c>
      <c r="R63" s="145" t="s">
        <v>983</v>
      </c>
      <c r="S63" s="145"/>
    </row>
    <row r="64" spans="9:21" x14ac:dyDescent="0.2">
      <c r="J64" s="108">
        <f>Q64</f>
        <v>0</v>
      </c>
      <c r="K64" s="108">
        <f>R64</f>
        <v>0</v>
      </c>
      <c r="L64" s="169">
        <f>S64</f>
        <v>0.1202</v>
      </c>
      <c r="Q64" s="108">
        <v>0</v>
      </c>
      <c r="R64" s="108"/>
      <c r="S64" s="168">
        <v>0.1202</v>
      </c>
      <c r="T64" s="166"/>
    </row>
  </sheetData>
  <sheetProtection algorithmName="SHA-512" hashValue="n5TzOG67V2Ca/FCI57TeoAJW2JFT/80O8UNQtfXJsTLDIwGNBpnF8evjDvMKPMm0sOFgFpT12MWsxvptHsH2Gw==" saltValue="5sVR0yl+tBMbDQW5VmNqDA==" spinCount="100000" sheet="1" objects="1" scenarios="1"/>
  <mergeCells count="36">
    <mergeCell ref="J6:L6"/>
    <mergeCell ref="Q6:S6"/>
    <mergeCell ref="J7:K7"/>
    <mergeCell ref="Q7:R7"/>
    <mergeCell ref="J11:L11"/>
    <mergeCell ref="Q11:S11"/>
    <mergeCell ref="J12:K12"/>
    <mergeCell ref="Q12:R12"/>
    <mergeCell ref="J16:L16"/>
    <mergeCell ref="Q16:S16"/>
    <mergeCell ref="J17:K17"/>
    <mergeCell ref="Q17:R17"/>
    <mergeCell ref="J25:L25"/>
    <mergeCell ref="Q25:S25"/>
    <mergeCell ref="J26:K26"/>
    <mergeCell ref="Q26:R26"/>
    <mergeCell ref="J34:L34"/>
    <mergeCell ref="Q34:S34"/>
    <mergeCell ref="J35:K35"/>
    <mergeCell ref="Q35:R35"/>
    <mergeCell ref="J39:L39"/>
    <mergeCell ref="Q39:S39"/>
    <mergeCell ref="J40:K40"/>
    <mergeCell ref="Q40:R40"/>
    <mergeCell ref="J46:L46"/>
    <mergeCell ref="Q46:S46"/>
    <mergeCell ref="J47:K47"/>
    <mergeCell ref="Q47:R47"/>
    <mergeCell ref="J55:L55"/>
    <mergeCell ref="Q55:S55"/>
    <mergeCell ref="J56:K56"/>
    <mergeCell ref="Q56:R56"/>
    <mergeCell ref="J61:L61"/>
    <mergeCell ref="Q61:S61"/>
    <mergeCell ref="J62:K62"/>
    <mergeCell ref="Q62:R62"/>
  </mergeCells>
  <pageMargins left="0.7" right="0.7" top="0.75" bottom="0.75" header="0.51180555555555551" footer="0.51180555555555551"/>
  <pageSetup firstPageNumber="0" orientation="portrait"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36589b95-514b-41ff-be61-afc861c9d6a2">
      <UserInfo>
        <DisplayName>Lisan ter Heijne</DisplayName>
        <AccountId>393</AccountId>
        <AccountType/>
      </UserInfo>
    </SharedWithUsers>
    <lcf76f155ced4ddcb4097134ff3c332f xmlns="e91dead7-fb7e-4be5-bdd3-7d54b5c756b9">
      <Terms xmlns="http://schemas.microsoft.com/office/infopath/2007/PartnerControls"/>
    </lcf76f155ced4ddcb4097134ff3c332f>
    <TaxCatchAll xmlns="36589b95-514b-41ff-be61-afc861c9d6a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B78E6B882FA864E9419F9CFAC674310" ma:contentTypeVersion="16" ma:contentTypeDescription="Een nieuw document maken." ma:contentTypeScope="" ma:versionID="ba644ef63375258bacd08a0300dac875">
  <xsd:schema xmlns:xsd="http://www.w3.org/2001/XMLSchema" xmlns:xs="http://www.w3.org/2001/XMLSchema" xmlns:p="http://schemas.microsoft.com/office/2006/metadata/properties" xmlns:ns2="e91dead7-fb7e-4be5-bdd3-7d54b5c756b9" xmlns:ns3="36589b95-514b-41ff-be61-afc861c9d6a2" targetNamespace="http://schemas.microsoft.com/office/2006/metadata/properties" ma:root="true" ma:fieldsID="a313793b0cd3aa71a1ac54312c5f2577" ns2:_="" ns3:_="">
    <xsd:import namespace="e91dead7-fb7e-4be5-bdd3-7d54b5c756b9"/>
    <xsd:import namespace="36589b95-514b-41ff-be61-afc861c9d6a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1dead7-fb7e-4be5-bdd3-7d54b5c756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54dd0181-3f1a-4d54-858e-ff4e9e5c2f52"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6589b95-514b-41ff-be61-afc861c9d6a2"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57433639-3f76-4a9e-babe-45ee7951dafb}" ma:internalName="TaxCatchAll" ma:showField="CatchAllData" ma:web="36589b95-514b-41ff-be61-afc861c9d6a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146AB6-0177-42B7-A758-5C15E4D047D8}">
  <ds:schemaRefs>
    <ds:schemaRef ds:uri="http://schemas.microsoft.com/office/infopath/2007/PartnerControls"/>
    <ds:schemaRef ds:uri="http://purl.org/dc/terms/"/>
    <ds:schemaRef ds:uri="http://purl.org/dc/dcmitype/"/>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36589b95-514b-41ff-be61-afc861c9d6a2"/>
    <ds:schemaRef ds:uri="e91dead7-fb7e-4be5-bdd3-7d54b5c756b9"/>
    <ds:schemaRef ds:uri="http://www.w3.org/XML/1998/namespace"/>
  </ds:schemaRefs>
</ds:datastoreItem>
</file>

<file path=customXml/itemProps2.xml><?xml version="1.0" encoding="utf-8"?>
<ds:datastoreItem xmlns:ds="http://schemas.openxmlformats.org/officeDocument/2006/customXml" ds:itemID="{5593C6FE-8862-441C-8057-5BE50B4ECD45}">
  <ds:schemaRefs>
    <ds:schemaRef ds:uri="http://schemas.microsoft.com/sharepoint/v3/contenttype/forms"/>
  </ds:schemaRefs>
</ds:datastoreItem>
</file>

<file path=customXml/itemProps3.xml><?xml version="1.0" encoding="utf-8"?>
<ds:datastoreItem xmlns:ds="http://schemas.openxmlformats.org/officeDocument/2006/customXml" ds:itemID="{4CC1B7A4-9370-4AC5-A847-C2D44CAB13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1dead7-fb7e-4be5-bdd3-7d54b5c756b9"/>
    <ds:schemaRef ds:uri="36589b95-514b-41ff-be61-afc861c9d6a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15</vt:i4>
      </vt:variant>
      <vt:variant>
        <vt:lpstr>Benoemde bereiken</vt:lpstr>
      </vt:variant>
      <vt:variant>
        <vt:i4>23</vt:i4>
      </vt:variant>
    </vt:vector>
  </HeadingPairs>
  <TitlesOfParts>
    <vt:vector size="38" baseType="lpstr">
      <vt:lpstr>Intro</vt:lpstr>
      <vt:lpstr>Intro_oud</vt:lpstr>
      <vt:lpstr>VRAGENLIJST</vt:lpstr>
      <vt:lpstr>Privébegroting</vt:lpstr>
      <vt:lpstr>Investering &amp; Financiering</vt:lpstr>
      <vt:lpstr>Liquiditeit</vt:lpstr>
      <vt:lpstr>Exploitatie</vt:lpstr>
      <vt:lpstr>Qredits maandlasten</vt:lpstr>
      <vt:lpstr>Uitleg aftrekposten</vt:lpstr>
      <vt:lpstr>Vertaling</vt:lpstr>
      <vt:lpstr>Schema</vt:lpstr>
      <vt:lpstr>dropdowns</vt:lpstr>
      <vt:lpstr>IB VPB 1</vt:lpstr>
      <vt:lpstr>IB VPB 2</vt:lpstr>
      <vt:lpstr>IB VPB 3</vt:lpstr>
      <vt:lpstr>Exploitatie!Afdrukbereik</vt:lpstr>
      <vt:lpstr>Intro!Afdrukbereik</vt:lpstr>
      <vt:lpstr>Intro_oud!Afdrukbereik</vt:lpstr>
      <vt:lpstr>'Investering &amp; Financiering'!Afdrukbereik</vt:lpstr>
      <vt:lpstr>Liquiditeit!Afdrukbereik</vt:lpstr>
      <vt:lpstr>'Qredits maandlasten'!Afdrukbereik</vt:lpstr>
      <vt:lpstr>'Uitleg aftrekposten'!Afdrukbereik</vt:lpstr>
      <vt:lpstr>VRAGENLIJST!Afdrukbereik</vt:lpstr>
      <vt:lpstr>'Qredits maandlasten'!Afdruktitels</vt:lpstr>
      <vt:lpstr>VRAGENLIJST!Afdruktitels</vt:lpstr>
      <vt:lpstr>Aflosmethode</vt:lpstr>
      <vt:lpstr>Betalen</vt:lpstr>
      <vt:lpstr>BTW</vt:lpstr>
      <vt:lpstr>Graceperiod</vt:lpstr>
      <vt:lpstr>Inbreng</vt:lpstr>
      <vt:lpstr>Ja_Nee</vt:lpstr>
      <vt:lpstr>Looptijd</vt:lpstr>
      <vt:lpstr>Maanden6</vt:lpstr>
      <vt:lpstr>Meewerkaftrek</vt:lpstr>
      <vt:lpstr>Ondernemers</vt:lpstr>
      <vt:lpstr>Rechtsvorm</vt:lpstr>
      <vt:lpstr>Select_your_language</vt:lpstr>
      <vt:lpstr>Uitkering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a.wassink</dc:creator>
  <cp:keywords/>
  <dc:description/>
  <cp:lastModifiedBy>Lennart Boeringa</cp:lastModifiedBy>
  <cp:revision/>
  <cp:lastPrinted>2024-04-24T08:48:40Z</cp:lastPrinted>
  <dcterms:created xsi:type="dcterms:W3CDTF">2012-08-24T09:29:24Z</dcterms:created>
  <dcterms:modified xsi:type="dcterms:W3CDTF">2026-10-26T10:42:59Z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0x0101006B78E6B882FA864E9419F9CFAC674310</vt:lpwstr>
  </property>
  <property fmtid="{D5CDD505-2E9C-101B-9397-08002B2CF9AE}" pid="3" name="Order">
    <vt:r8>100</vt:r8>
  </property>
  <property fmtid="{D5CDD505-2E9C-101B-9397-08002B2CF9AE}" pid="4" name="AuthorIds_UIVersion_512">
    <vt:lpwstr>16</vt:lpwstr>
  </property>
  <property fmtid="{D5CDD505-2E9C-101B-9397-08002B2CF9AE}" pid="5" name="MediaServiceImageTags">
    <vt:lpwstr/>
  </property>
</Properties>
</file>