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Ressources" sheetId="1" r:id="rId1"/>
    <sheet name="Emploi" sheetId="2" r:id="rId2"/>
    <sheet name="Recettesdépenses" sheetId="3" r:id="rId3"/>
  </sheets>
  <definedNames/>
  <calcPr fullCalcOnLoad="1"/>
</workbook>
</file>

<file path=xl/comments3.xml><?xml version="1.0" encoding="utf-8"?>
<comments xmlns="http://schemas.openxmlformats.org/spreadsheetml/2006/main">
  <authors>
    <author>bonjour</author>
  </authors>
  <commentList>
    <comment ref="M4" authorId="0">
      <text>
        <r>
          <rPr>
            <b/>
            <sz val="9"/>
            <rFont val="Tahoma"/>
            <family val="2"/>
          </rPr>
          <t>bonjour:</t>
        </r>
        <r>
          <rPr>
            <sz val="9"/>
            <rFont val="Tahoma"/>
            <family val="2"/>
          </rPr>
          <t xml:space="preserve">
Contribution TASSAGHT 311 050
</t>
        </r>
      </text>
    </comment>
  </commentList>
</comments>
</file>

<file path=xl/sharedStrings.xml><?xml version="1.0" encoding="utf-8"?>
<sst xmlns="http://schemas.openxmlformats.org/spreadsheetml/2006/main" count="1069" uniqueCount="451">
  <si>
    <t>II Situation budgétaire</t>
  </si>
  <si>
    <t>LIBELLE</t>
  </si>
  <si>
    <t>Ressources</t>
  </si>
  <si>
    <t>TOTAL</t>
  </si>
  <si>
    <t>Logistique</t>
  </si>
  <si>
    <t>Personnel</t>
  </si>
  <si>
    <t>Fonctionnement</t>
  </si>
  <si>
    <t xml:space="preserve"> Audit </t>
  </si>
  <si>
    <t>Frais administratifs (2%)</t>
  </si>
  <si>
    <t>Animateurs/Formateurs</t>
  </si>
  <si>
    <t>Sous total</t>
  </si>
  <si>
    <t>Total</t>
  </si>
  <si>
    <t>Sous total immobilier</t>
  </si>
  <si>
    <t>Sous total mobilier</t>
  </si>
  <si>
    <t>1 Superviseur technique projet 100%</t>
  </si>
  <si>
    <t>2 Animateurs projet 100 %</t>
  </si>
  <si>
    <t>Coordinateur des projets TASSAGHT 25%</t>
  </si>
  <si>
    <t>Comptable 100%</t>
  </si>
  <si>
    <t>Sécurisation de pistes - tronçons stratégiques</t>
  </si>
  <si>
    <t>Equipements et installations de forages</t>
  </si>
  <si>
    <t>Diagnostic sur l'offre et la santé animale</t>
  </si>
  <si>
    <t>Visibilité</t>
  </si>
  <si>
    <t>Frais de mission(perdiems et hebergement)</t>
  </si>
  <si>
    <t>Collecte annuelle des indicateurs sur le terrain</t>
  </si>
  <si>
    <t>Loyers</t>
  </si>
  <si>
    <t>Carburant ,Entrétien véhicules et Motos et Assurances véhicules</t>
  </si>
  <si>
    <t>Frais de Communication (Télephone bureau,terrain et Internet)</t>
  </si>
  <si>
    <t xml:space="preserve">Eau ,Electricité, Fournitures de bureau,photocopies </t>
  </si>
  <si>
    <t>Labor</t>
  </si>
  <si>
    <t>Travel, transortation et perdiems</t>
  </si>
  <si>
    <t>Equipment</t>
  </si>
  <si>
    <t>Activités support cost</t>
  </si>
  <si>
    <t>Ohter direct costs</t>
  </si>
  <si>
    <t>Indirect costs</t>
  </si>
  <si>
    <t>TOTAUX</t>
  </si>
  <si>
    <t>Urgence WASH</t>
  </si>
  <si>
    <t>BRACED</t>
  </si>
  <si>
    <t>PACEN</t>
  </si>
  <si>
    <t>PAM Cantines</t>
  </si>
  <si>
    <t>UNICEF</t>
  </si>
  <si>
    <t>GLD III</t>
  </si>
  <si>
    <t>Autre Terre</t>
  </si>
  <si>
    <t>Emplois</t>
  </si>
  <si>
    <t>Soldes budgétaires/projet</t>
  </si>
  <si>
    <t>II Situation des comptes</t>
  </si>
  <si>
    <t xml:space="preserve">II.1 Recettes/Projet </t>
  </si>
  <si>
    <t>Solde de l'exercice écoulé</t>
  </si>
  <si>
    <t>Recettes de l'exercice</t>
  </si>
  <si>
    <t>Total des recettes/projet</t>
  </si>
  <si>
    <t>II.2 Dépenses /Projet</t>
  </si>
  <si>
    <t>Dépenses de l'exercice</t>
  </si>
  <si>
    <t xml:space="preserve"> </t>
  </si>
  <si>
    <t>Total dépenes/Projet</t>
  </si>
  <si>
    <t>III. Solde final</t>
  </si>
  <si>
    <t>En espèce</t>
  </si>
  <si>
    <t>En banque</t>
  </si>
  <si>
    <t>En valeurs de caisse</t>
  </si>
  <si>
    <t>Total solde final</t>
  </si>
  <si>
    <t>IV. Situation des Exonérations par projet:</t>
  </si>
  <si>
    <t>Liste des exonérations obtenues</t>
  </si>
  <si>
    <t>Valeur des exonérations obtenues</t>
  </si>
  <si>
    <t>Destination des exonération obtenues</t>
  </si>
  <si>
    <t>Provenance des matières exonérées</t>
  </si>
  <si>
    <t>V. Situation fiscale:</t>
  </si>
  <si>
    <t>Impôts et taxes dues</t>
  </si>
  <si>
    <t>Cotisations dues</t>
  </si>
  <si>
    <t>Autres contributions</t>
  </si>
  <si>
    <t>ONG</t>
  </si>
  <si>
    <t>Communautés</t>
  </si>
  <si>
    <t>Audit comptable réalisé</t>
  </si>
  <si>
    <t>Propilab</t>
  </si>
  <si>
    <t>STAMP</t>
  </si>
  <si>
    <t>Frais voyage et séjour</t>
  </si>
  <si>
    <t>Equipement</t>
  </si>
  <si>
    <t>Coûts tiers sous contrat</t>
  </si>
  <si>
    <t>Labour Costs</t>
  </si>
  <si>
    <t>Totaux</t>
  </si>
  <si>
    <t>FISOREP</t>
  </si>
  <si>
    <t>MINUSMA</t>
  </si>
  <si>
    <t>FAFA</t>
  </si>
  <si>
    <t>AMASRAKAD</t>
  </si>
  <si>
    <t>I. Soldes budgétaires/projet</t>
  </si>
  <si>
    <t>NORAD</t>
  </si>
  <si>
    <t>1.Investssements</t>
  </si>
  <si>
    <t>1.1. Immobilier</t>
  </si>
  <si>
    <t>1.1.1 Aménager 6 bassins, canalisation</t>
  </si>
  <si>
    <t>1.1.2 4 puisards nouvelles associations.</t>
  </si>
  <si>
    <t>1.1.3 ligne à provisionner</t>
  </si>
  <si>
    <t>1.2.Mobilier</t>
  </si>
  <si>
    <t>1.2.1.Clôture 6 ha nouvelles associations</t>
  </si>
  <si>
    <t xml:space="preserve">1.2.2 Equipements agricoles </t>
  </si>
  <si>
    <t>1.2.3 dotation semences souches</t>
  </si>
  <si>
    <t>provisionnement en cas de coupe</t>
  </si>
  <si>
    <t>Total Investissement</t>
  </si>
  <si>
    <t>2.Fonctionnement</t>
  </si>
  <si>
    <t>2.1  Formations agroécologie Groupt</t>
  </si>
  <si>
    <t>2.2 Voyages échanges encadreurs AE</t>
  </si>
  <si>
    <t>2.3 Visites d’échanges entre producteurs</t>
  </si>
  <si>
    <t>2.4 Formation en gestion d’exploitation…</t>
  </si>
  <si>
    <t>2.5 Formation vie asso gouvernance.</t>
  </si>
  <si>
    <t>2.6 Formation producteurs en semences</t>
  </si>
  <si>
    <t>2.7 Réseau échanges variétés paysannes</t>
  </si>
  <si>
    <t>2.8 Renforcement capacité AE et ESS</t>
  </si>
  <si>
    <t>2.9 Visites d’échanges en Belgique.</t>
  </si>
  <si>
    <t>2.10 Organisation des émissions Radio</t>
  </si>
  <si>
    <t>2.11 Indemnités missions BF et ML</t>
  </si>
  <si>
    <t>2.13 Indemnités missions + Synergie</t>
  </si>
  <si>
    <t>2.14 Maintenance moto</t>
  </si>
  <si>
    <t>2.15 Essence motos</t>
  </si>
  <si>
    <t>2.16 Suivi services techniques étatiques</t>
  </si>
  <si>
    <t>2.17 Com, fourniture, eau, frais BQ, élect…</t>
  </si>
  <si>
    <t>Sous total fonctionnement</t>
  </si>
  <si>
    <t>3.Frais personnel</t>
  </si>
  <si>
    <t>3.1. Personnel local</t>
  </si>
  <si>
    <t>3.1. Coordinateur des projets 10%</t>
  </si>
  <si>
    <t>3.2. Comptable 15 % (1)</t>
  </si>
  <si>
    <t>3.3. Animateurs 100% (2)</t>
  </si>
  <si>
    <t>3.4. Superviseur technique 100% (1)</t>
  </si>
  <si>
    <t>Total personnel local</t>
  </si>
  <si>
    <t>Coûts opérationnels totaux</t>
  </si>
  <si>
    <t>ARC AEN</t>
  </si>
  <si>
    <t>SSGI</t>
  </si>
  <si>
    <t>SAVE THE CHLIDREN</t>
  </si>
  <si>
    <t>Salaire personnel</t>
  </si>
  <si>
    <t>Indemnités personnel appui</t>
  </si>
  <si>
    <t>Avantages sociaux</t>
  </si>
  <si>
    <t>Fonctionnemnt bureau</t>
  </si>
  <si>
    <t>Activités</t>
  </si>
  <si>
    <t>Frais voyages</t>
  </si>
  <si>
    <t>Matériel et mobilier bureau</t>
  </si>
  <si>
    <t>Fonctionnement bureau</t>
  </si>
  <si>
    <t>Perdiems mission</t>
  </si>
  <si>
    <t>Chargé de projet</t>
  </si>
  <si>
    <t>Trajets locaux</t>
  </si>
  <si>
    <t>Aliment bétail</t>
  </si>
  <si>
    <t>Céréales</t>
  </si>
  <si>
    <t>Concertations</t>
  </si>
  <si>
    <t>Sensibiliser les communautés sur les coûts du service</t>
  </si>
  <si>
    <t>Appuyer la mobilisation de la contrepartie initiale</t>
  </si>
  <si>
    <t>Appuyer dans l'établissement des tarifs et de mode de paiement</t>
  </si>
  <si>
    <t>Contrôler le respect des tarifs et du mode de paiement</t>
  </si>
  <si>
    <t>Identification et formalisation du gestionnaire (AUE, privé ou autre)</t>
  </si>
  <si>
    <t>Formation du gestionnaire sur la gestion technique et financière de l’ouvrage</t>
  </si>
  <si>
    <t>Suivi des activités coordinateur/Directeur Exécutif</t>
  </si>
  <si>
    <t>Diagnostic situation WASH initiale</t>
  </si>
  <si>
    <t>Organiser 5 séances d'IEC sur les pratiques d’hygiène (maladies hydriques, lavage des mains, hygiène alimentaire, traitement et conservation de l’eau)</t>
  </si>
  <si>
    <t>Messages radiophoniques</t>
  </si>
  <si>
    <t>Journée de salubrité</t>
  </si>
  <si>
    <t>Diagnostic situation WASH finale</t>
  </si>
  <si>
    <t>Réunion de cadrage avec UNICEF et formation des animateurs</t>
  </si>
  <si>
    <t>Réunion d’information avec la Commune et les autres autorités</t>
  </si>
  <si>
    <t>Réunion d’information avec la communauté</t>
  </si>
  <si>
    <t>Visite sociale des sites ou implantation sociale des points d'eau (cas des nouvelles réalisations)</t>
  </si>
  <si>
    <t>Appui à l’introduction de l’entreprise de travaux</t>
  </si>
  <si>
    <t>Appui à la commune et la communauté dans le suivi des travaux </t>
  </si>
  <si>
    <t>Participation à la réception des travaux</t>
  </si>
  <si>
    <t>Suivi de la gestion de l’ouvrage</t>
  </si>
  <si>
    <t xml:space="preserve">Coûts opérationnels liés au fonctionnement </t>
  </si>
  <si>
    <t>TOTAL GENERAL</t>
  </si>
  <si>
    <t>Sous total 1</t>
  </si>
  <si>
    <t>AMSS</t>
  </si>
  <si>
    <t>Suivi</t>
  </si>
  <si>
    <t>Location véhicule (50 000F/j x 5*3*1mission)</t>
  </si>
  <si>
    <t xml:space="preserve">Frais de carburant pour missions (100 litres  x 700F x 3 missions) </t>
  </si>
  <si>
    <t>Organiser des rencontres inter et intra-communautaires sur les mécanismes de résolution des conflits en matière de religion au niveau cercle</t>
  </si>
  <si>
    <t>Carburant et lubrifiant motos projet</t>
  </si>
  <si>
    <t xml:space="preserve"> Entretien motos projet</t>
  </si>
  <si>
    <t>Assurance et vignette motos</t>
  </si>
  <si>
    <t xml:space="preserve"> Cartes telephoniques </t>
  </si>
  <si>
    <t xml:space="preserve"> Papeterie</t>
  </si>
  <si>
    <t>Télephone/Fax</t>
  </si>
  <si>
    <t>Electricité,eau</t>
  </si>
  <si>
    <t>Frais divers (internet)</t>
  </si>
  <si>
    <t>salaire et indemnités du Personnel du projet</t>
  </si>
  <si>
    <t>Salaire des animateurs Tassaght (100%)</t>
  </si>
  <si>
    <t>Coût de gestion TASSAGHT</t>
  </si>
  <si>
    <t>2.1 Ressource AMSS :  Projet d’Appui au Renforcement de la Culture de la Paix et de la Non Violence dans les 34 communes de Mopti, Gao et Tombouctou</t>
  </si>
  <si>
    <t>2.2 Emploi AMSS :  Projet d’Appui au Renforcement de la Culture de la Paix et de la Non Violence dans les 34 communes de Mopti, Gao et Tombouctou</t>
  </si>
  <si>
    <t>Dépenses</t>
  </si>
  <si>
    <t xml:space="preserve">Lancement DAO </t>
  </si>
  <si>
    <t xml:space="preserve">Ouverture des plis </t>
  </si>
  <si>
    <t xml:space="preserve">Processus contrat des entreprises </t>
  </si>
  <si>
    <t xml:space="preserve">Carburant Vehicule </t>
  </si>
  <si>
    <t xml:space="preserve">Location véhicule </t>
  </si>
  <si>
    <t xml:space="preserve">Avance 67;86% travaux AES Talataye </t>
  </si>
  <si>
    <t xml:space="preserve">Avance 71,18% travaux AES Tessit </t>
  </si>
  <si>
    <t xml:space="preserve">Frais de gestion </t>
  </si>
  <si>
    <t xml:space="preserve">Frais de supervision </t>
  </si>
  <si>
    <t xml:space="preserve">Frais de rapportage </t>
  </si>
  <si>
    <t>Preparation et reception des travaux</t>
  </si>
  <si>
    <t>PASP</t>
  </si>
  <si>
    <t>Activité 1. 1.1.  Session de suivi de la mise en oeuvre de 11  plans  de developpement communal (PDSEC) des Communes  de Ansongo, Bara, ouatagouna,Bourra,Gounzourey,Gao, Tinahama, Intililt,Tessit,Gabéro, Talataye</t>
  </si>
  <si>
    <t>Activité 1.1.2. formation des acteurs clés de la société civile ( élus et leaders jeunes,femmes et communautaires )en techniques de plaidoyer et élaboration de 11  plans des communes d'Ansongo, Bara, ouatagouna,Bourra,Gounzourey,Gao, Tinahama, Intililt,Tessit,Gabéro, Talataye</t>
  </si>
  <si>
    <t>Activités 1.1.3 Appui à la mise en œuvre des  plans de  plaidoyer (les actions prioritaires sont determinées au cours des sessions comunautaires)</t>
  </si>
  <si>
    <t xml:space="preserve"> Activités 1.3.1    REFLECT. (Mise en place de 11 cercles Reflet dans les communes de Ansongo, Bara, ouatagouna,Bourra,Gounzourey,Gao, Tinahama, Intililt,Tessit,Gabéro, Talataye  )</t>
  </si>
  <si>
    <t>Activités 1.4.1  11 Rencontres/Dialogue inter communautaires dans les communes d'intervention: Ansongo, Bara, ouatagouna,Bourra,Gounzourey,Gao, Tinahama, Intililt,Tessit,Gabéro, Talataye</t>
  </si>
  <si>
    <t>Activité 2.1.1 Mise en place des 11 EPRs et Typologie des conflits</t>
  </si>
  <si>
    <t>Activité 2.1.2  Organiser 11 Rencontre entre groupe de femmes et de  jeunes et les personnes ressources  dans les communes d'Ansongo, Bara, ouatagouna,Bourra,Gounzourey,Gao, Tinahama, Intililt,Tessit,Gabéro, Talataye</t>
  </si>
  <si>
    <t>Activités : 2.1.3 Elaboration de 11  plans d'actions des communes d'intervention</t>
  </si>
  <si>
    <t xml:space="preserve"> Activités : 2.1.4 Appui Financier de 11 plans d'actions des EPRs</t>
  </si>
  <si>
    <t xml:space="preserve"> Activité 2.2.1 Renforceement de capacités des ERP en GNVC (3 jrs / commune)</t>
  </si>
  <si>
    <t>Activité 2.6.1   Organiser 2 Ateliers de formation de leaders communautaires  sur la gestion non violente des conflits  dans les 2 cercles (3 jours par cercle)</t>
  </si>
  <si>
    <t xml:space="preserve">Activité: 2.6.2 Debats radiodiffusés sur la tolerence religieuse  (4 Débats radiodiffusés le jour de la commémeration de la paix) </t>
  </si>
  <si>
    <t>Activité 3.2.1 : Appui  à la mise en place de 2 reseaux ( 1 reseau de femmes et 1 reseau des jeunes ) des  structures associatives au niveau communes et Elaboration de plans d'actions</t>
  </si>
  <si>
    <t>Activités 3.2.2  Appui Financier à la mise en œuvre des  plans d'action des reseaux de femmes et des jeunes au niveau commune</t>
  </si>
  <si>
    <t>Activité 3.2.1 : Appui  à la mise en place de 2 reseaux ( 1 reseau de femmes et 1 reseau des jeunes ) des  structures associatives au niveau région et Elaboration de plan d'action</t>
  </si>
  <si>
    <t>Activités 3.2.3  Appui Financier à la mise en œuvre des  plans d'action des reseaux de femmes et des jeunes au niveau Région</t>
  </si>
  <si>
    <t>Activité 3.2.4 : Appui  à la mise en place de 2 reseaux ( 1 reseau de femmes et 1 reseau des jeunes )des  structures associatives au niveau cercle</t>
  </si>
  <si>
    <t>Activités 3.2.5  Appui Financier à la mise en œuvre des  plans d'action des reseaux de femmes et des jeunes au niveau cercle</t>
  </si>
  <si>
    <t>Investissement</t>
  </si>
  <si>
    <t>Suivi des Activités</t>
  </si>
  <si>
    <t>2.1 Ressources ARC PAIX AEN (Janvier à Décembre 2018)</t>
  </si>
  <si>
    <t xml:space="preserve">Activité 1.1.1:Mise en place et formation de 6 comités de gestion et un AUEP pour les nouveaux  points   dans la région de Gao </t>
  </si>
  <si>
    <t>Activité 1.1.2 : Organiser des rencontres de sensibilisation sur la prise de l'aspect genre dans les comités de gestion (niveau commune)</t>
  </si>
  <si>
    <t xml:space="preserve"> Activité 3.1.1 : Ciblage et  formation des relais communautaires </t>
  </si>
  <si>
    <t xml:space="preserve">Activité 3.1.2 : Organiser des focus groupe et les visites à domicile  sur la sensibilisation des communautés sur les thèmes suivants : Lavage des mains au savon, assainissement et la chaine de l’eau </t>
  </si>
  <si>
    <t>Activité 3.1.3 : Déclencher les activités ATPC dans 2 villages nouveaux dans la commune Soni Ali Ber</t>
  </si>
  <si>
    <t xml:space="preserve">Activité 3.1.4 : Organiser les activités sur l'approche ATPC dans les villages déclenchés ( Suivi et Céremonies de Fin de la Défecation à l'Air Libre (FEDAL)  avec les services techniques de l'etat )à Haoussa Foulan et Tojal Gargouna </t>
  </si>
  <si>
    <t>Activité 4.1.2 Appuyer les communautés en kit d’hygiène et assainissement</t>
  </si>
  <si>
    <t>Activité 4.1.4 : Renforcer les capacités  des communautés dans la confection des dalles et la realisation des puits perdus pour les eaux usées des latrines</t>
  </si>
  <si>
    <t>Activité 4.2.1 : Appuyer les ménages en dalles pour que chacun construire une latrines avec des dispositifs de lavage des mains</t>
  </si>
  <si>
    <t>Activité 4.2.2 : Appuyer les ménages pauvres en kit essentiel d’hygiène et assainissement</t>
  </si>
  <si>
    <t>Activité 5.1.3 : suivi des travaux  des réalisations et des réhabilitation par TASSAGHT et service technique:Perdiems missions suivi des travaux coordinateur et services techniques</t>
  </si>
  <si>
    <t>Personnel administratif</t>
  </si>
  <si>
    <r>
      <t xml:space="preserve">2.1 Ressources WASH NORAD AEN </t>
    </r>
    <r>
      <rPr>
        <sz val="10"/>
        <rFont val="Calibri"/>
        <family val="2"/>
      </rPr>
      <t>(Janvier à Décembre 2018)</t>
    </r>
  </si>
  <si>
    <r>
      <t>Activité 5.1.1 :</t>
    </r>
    <r>
      <rPr>
        <b/>
        <sz val="10"/>
        <rFont val="Calibri"/>
        <family val="2"/>
      </rPr>
      <t xml:space="preserve"> La Réalisation et Equipement d’un forage en système d’Adductions d’Eau Sommaire (AES) dans la commune de N’Tillit ;</t>
    </r>
  </si>
  <si>
    <t>Salaire du personnel de mise en oeuvre des activites WASH</t>
  </si>
  <si>
    <t>Salaire du personnel d'appui</t>
  </si>
  <si>
    <t>2.1 Ressources UNICEF (Juin à Décembre 2018)</t>
  </si>
  <si>
    <t>Appui aux autorités locales pour la mise en œuvre d'un système d'information transparent sur l'accès inclusif aux services des Groupes Marginalisés (jeunes, femmes) et des Organisations Communautaires de Base dans les communes</t>
  </si>
  <si>
    <t>Former les élus, les leaders religieux, les jeunes et les femmes sur la citoyenneté le rendre compte (redevabilité) la participation inclusive</t>
  </si>
  <si>
    <t>Renforcer les jeunes, les femmes et les élus sur les droits économiques, sociaux et culturels</t>
  </si>
  <si>
    <t>Organiser des espaces d’échange entre les autorités communales, les jeunes et les femmes sur leurs rôles et responsabilités dans la gestion inclusive des affaires publiques locales</t>
  </si>
  <si>
    <t xml:space="preserve">Conduire des sessions de plaidoyer/lobbying auprès des élus pour la charge des besoins des jeunes et des femmes dans les différents plans de développement </t>
  </si>
  <si>
    <t>Appui à l'élaboration de réglementations locales et de code de conduite déonthologique en matière de prêche et organisation d'autres activités réligieuses et aussi de médias</t>
  </si>
  <si>
    <t xml:space="preserve">Appuyer les autorités communales à organiser dans leurs communes des débats publics informés afin d’améliorer la participation du citoyen (jeune, femme et autre acteur) dans la prise de décision au niveau communal. </t>
  </si>
  <si>
    <t xml:space="preserve">Organiser des journées d’échanges sur la transparence et la redevabilité des autorités locales afin de construire la citoyenneté et la confiance entre élu et citoyen. </t>
  </si>
  <si>
    <t>Suivi technique des activités par les Coordinateurs (AMSS,Tassaght et GRAT) (30.000F/pers par nuitées pour5 jours/1 mission)</t>
  </si>
  <si>
    <t xml:space="preserve"> Frais d'organisation des rencontres mensuelles deplanification l'équipe terrain P-GLR et les responsables AMSS/GRAT/Tassaght</t>
  </si>
  <si>
    <t>Former les membres des CRC sur les pratiques de la radicalisation et de l’extrémisme violent</t>
  </si>
  <si>
    <t>Former les membres des CRC sur le média training</t>
  </si>
  <si>
    <t>Former les membres des CRC sur l’éducation à la citoyenneté</t>
  </si>
  <si>
    <t>Formation des CRC sur l’ABD (l’approche basée sur les droits humains</t>
  </si>
  <si>
    <t>Poursuivre le financement des  plans de travail des CRCs au niveau des communes cibles</t>
  </si>
  <si>
    <t xml:space="preserve">Former les leaders religieux en, communication basées sur les valeurs religieuses et les normes sociales  </t>
  </si>
  <si>
    <t>Renforcer les capacités des membres conseils de culte et des différentes institutions HCI, la ligue des imams et autres) en charge de la règlementation des prêches au niveau communal, local et régional sur leurs rôles et responsabilités</t>
  </si>
  <si>
    <t xml:space="preserve">Soutenir des espaces d’échange et de concertation inter et intra réligieux des leaders religieux au niveau local et régional matière de religion et des normes sociales </t>
  </si>
  <si>
    <t>Soutenir les tenue des rencontres périodiques des plateformes communales entre les leaders religieux, les femmes et les jeunes</t>
  </si>
  <si>
    <t xml:space="preserve">Réaliser une étude diagnostique en vue de:  1/Etablir la liste des groupes cibles de la base au niveau régional; 2/Typologie des conflits réligieux; 3/Capitaliser les bonnes pratqiues au niveau de chaque région en matière de résolution de conflits réligieux      </t>
  </si>
  <si>
    <t>Organiser des conférences au niveau des régions en vue d’une large sensibilisation et d’une adhésion consciente active des citoyens à la lutte contre le terrorisme et l’extrémisme violent par an</t>
  </si>
  <si>
    <t>Identifier  de nouveaux thèmes et concevoir des messages de sensibilisation sur la tolérance religieuse et la gestion non violente des conflits</t>
  </si>
  <si>
    <t>Diffusion des messages radiophoniques sur la tolérance et les valeurs civiques dans les différentes religions en des langues locales</t>
  </si>
  <si>
    <r>
      <t>Organiser des rencontres sur l’importance  de la participation et du rôle des leaders religieux dans la prévention de l’extrémisme violent et du terrorisme</t>
    </r>
    <r>
      <rPr>
        <sz val="10"/>
        <rFont val="Bookman Old Style"/>
        <family val="1"/>
      </rPr>
      <t> </t>
    </r>
  </si>
  <si>
    <t>Appuyer les points focaux régionaux (leaders religieux) dans le suivi et le contrôle de la règlementation des prêches des leaders religieux à la base ( cercle et communes)</t>
  </si>
  <si>
    <t>Organisation des visites d’échanges ou d’expérience entre les leaders religieux des régions sur les bonnes pratiques en matière de la promotion de la paix et la culture du dialogue des religions et des  cultures ;</t>
  </si>
  <si>
    <t>Mise en œuvre de dispositif d'information/écoute et orientation dans les maisons de jeunes</t>
  </si>
  <si>
    <t>Fonctionnement TASSAGHT</t>
  </si>
  <si>
    <t>Contribution Salaire du superviseur Tassaght  (50%)</t>
  </si>
  <si>
    <t>1 chauffeur</t>
  </si>
  <si>
    <t>1 Ordinateur</t>
  </si>
  <si>
    <t>Démultiplication nouveau module mobilité (25 pers x 5 jours x 1 atelier non accompagné)</t>
  </si>
  <si>
    <t>Démultiplication nouveau module mobilité (25 pers x 5 jours x 1 atelier accompagné)</t>
  </si>
  <si>
    <t>2.1 Ressource BRACED ( Janvier à Décembre 2018)</t>
  </si>
  <si>
    <t>SALAIRES</t>
  </si>
  <si>
    <t>Animateur(2)</t>
  </si>
  <si>
    <t>CHARGES SOCIALES</t>
  </si>
  <si>
    <t>EQUIPEMENTS  INFERIEUR A 500 000 FCFA</t>
  </si>
  <si>
    <t>COUTS PERATIONNELS/FONCTIONNEMENT</t>
  </si>
  <si>
    <t>Achats des kits scolaires(cahiers, bics, sacs….)</t>
  </si>
  <si>
    <t>Transport du materiel</t>
  </si>
  <si>
    <t>S/Total 1</t>
  </si>
  <si>
    <t>Fonctionnement bureau et Guess House</t>
  </si>
  <si>
    <t>Carburant generateur</t>
  </si>
  <si>
    <t>Location bureau</t>
  </si>
  <si>
    <t>Entretien bureau</t>
  </si>
  <si>
    <t>Consomable fourniture bureau</t>
  </si>
  <si>
    <t>Bureau telephone internet</t>
  </si>
  <si>
    <t>Sécurité bureau</t>
  </si>
  <si>
    <t>Eau electricité bureau communication</t>
  </si>
  <si>
    <t xml:space="preserve">Communication </t>
  </si>
  <si>
    <t>S/Total 2</t>
  </si>
  <si>
    <t xml:space="preserve">Ressources humaines </t>
  </si>
  <si>
    <t>Comptable(25%)</t>
  </si>
  <si>
    <t>Coordinateur des projets et programmes(10%)</t>
  </si>
  <si>
    <t>Directeur TASSAGHT(5%)</t>
  </si>
  <si>
    <t>Sécurité sociale(19,9%) staff national</t>
  </si>
  <si>
    <t>EOC(10%) staff national</t>
  </si>
  <si>
    <t>Tassaght medical</t>
  </si>
  <si>
    <t>S/Total 3</t>
  </si>
  <si>
    <t xml:space="preserve">Voyages et missions </t>
  </si>
  <si>
    <t>Vol UNHAS</t>
  </si>
  <si>
    <t>Location véhicule</t>
  </si>
  <si>
    <t>CarburantVehicule</t>
  </si>
  <si>
    <t>Traversée</t>
  </si>
  <si>
    <t>Per diem staff terrain</t>
  </si>
  <si>
    <t>S/Total 4</t>
  </si>
  <si>
    <t>Total (1+2+3+4)</t>
  </si>
  <si>
    <t>2.1 Projet PACETEM (Mai 2018 à Décembre 2018)</t>
  </si>
  <si>
    <t>2.1 DANIDA ( Décembre 2018)</t>
  </si>
  <si>
    <r>
      <t xml:space="preserve">Activité 2 : </t>
    </r>
    <r>
      <rPr>
        <sz val="10"/>
        <rFont val="Calibri"/>
        <family val="2"/>
      </rPr>
      <t>Construction de 31 latrines familiales séparées par genre pour 31 familles vulnérables dans les 3 cercles de la région de Gao</t>
    </r>
  </si>
  <si>
    <r>
      <t xml:space="preserve">Activité 3 : </t>
    </r>
    <r>
      <rPr>
        <sz val="10"/>
        <rFont val="Calibri"/>
        <family val="2"/>
      </rPr>
      <t>Réalisation de campagnes mensuelles de promotion de l'hygiène et de sensibilisation pour promouvoir les latrines familiales dans 20 communautés, y compris la distribution de kits d'hygiène et d'assainissement à 400 ménages vulnérables (20 par communauté)</t>
    </r>
  </si>
  <si>
    <r>
      <t xml:space="preserve">Activité 4 : </t>
    </r>
    <r>
      <rPr>
        <sz val="10"/>
        <rFont val="Calibri"/>
        <family val="2"/>
      </rPr>
      <t>Salaire des animateurs de l’Ong TASSAGHT pour 13 mois</t>
    </r>
  </si>
  <si>
    <r>
      <t>Activité 5 :</t>
    </r>
    <r>
      <rPr>
        <sz val="10"/>
        <rFont val="Calibri"/>
        <family val="2"/>
      </rPr>
      <t xml:space="preserve"> Salaire du coordinateur de l’Ong TASSAGHT pour 13 mois</t>
    </r>
  </si>
  <si>
    <r>
      <t xml:space="preserve">Activité 6 : </t>
    </r>
    <r>
      <rPr>
        <sz val="10"/>
        <rFont val="Calibri"/>
        <family val="2"/>
      </rPr>
      <t>Contribution frais pour la communication, l’eau et l’électricité</t>
    </r>
  </si>
  <si>
    <r>
      <t xml:space="preserve">Activité 7: </t>
    </r>
    <r>
      <rPr>
        <sz val="10"/>
        <color indexed="8"/>
        <rFont val="Calibri"/>
        <family val="2"/>
      </rPr>
      <t>Contribution frais location de bureau de l’ONG TASSAGHT</t>
    </r>
  </si>
  <si>
    <r>
      <t xml:space="preserve">Activité 9 : </t>
    </r>
    <r>
      <rPr>
        <sz val="10"/>
        <color indexed="8"/>
        <rFont val="Calibri"/>
        <family val="2"/>
      </rPr>
      <t>Frais carburant et maintenance des motos de 7 agents (6 animateurs et 1 coordinateur)</t>
    </r>
  </si>
  <si>
    <t>DANIDA</t>
  </si>
  <si>
    <t>PACETEM</t>
  </si>
  <si>
    <t>Chargé de projet 100%</t>
  </si>
  <si>
    <t>3 Animateurs 100%</t>
  </si>
  <si>
    <t>Comptable 50%</t>
  </si>
  <si>
    <t>Coordinateur des projets 20%</t>
  </si>
  <si>
    <t>Directeur TASSAGHT 5%</t>
  </si>
  <si>
    <t>Chauffeur 50%</t>
  </si>
  <si>
    <t>Frais de mission</t>
  </si>
  <si>
    <t>Vols Bamako-Gao</t>
  </si>
  <si>
    <t>Personnel national</t>
  </si>
  <si>
    <t>Équipement</t>
  </si>
  <si>
    <t>Tables / chaises bureau</t>
  </si>
  <si>
    <t>Coûts de fonctionnement</t>
  </si>
  <si>
    <t>Frais fonctionnement véhicules</t>
  </si>
  <si>
    <t>Frais fonctionnement motos (3)</t>
  </si>
  <si>
    <t>Communication (téléphone)</t>
  </si>
  <si>
    <t>Fournitures bureau (consommables et maintenance informatique)</t>
  </si>
  <si>
    <t>Appui au Bureau TASSAGHT à Gao</t>
  </si>
  <si>
    <t>Activités - Renforcement de capacités et accompagnement pour pistes rurales</t>
  </si>
  <si>
    <t>Campagnes d'information, sensibilisation (Pistes/HIMO)</t>
  </si>
  <si>
    <t>Formation et supervision du bénéficiaire pendant et après les travaux de construction/rehabilitation des pistes</t>
  </si>
  <si>
    <t>Mesures de formation pour les représentants des collectivités territoriales (CT) en réhabilitation des pistes / HIMO</t>
  </si>
  <si>
    <t>Mesures de formation pour les représentants des services techniques décentralisées / déconcentrés (STD) en réhabilitation des pistes / HIMO</t>
  </si>
  <si>
    <t>Formation des entreprises de construction locales dans le cadre pistes / HIMO</t>
  </si>
  <si>
    <t>2.1 STAMP  ( Janvier à Décembre 2018)</t>
  </si>
  <si>
    <t>Perdiems</t>
  </si>
  <si>
    <t xml:space="preserve">hebregement </t>
  </si>
  <si>
    <t>Honraires</t>
  </si>
  <si>
    <t>Carburant</t>
  </si>
  <si>
    <t>Communication</t>
  </si>
  <si>
    <t>Transport</t>
  </si>
  <si>
    <t>Restauration/autres</t>
  </si>
  <si>
    <t>Prise en charges CFW</t>
  </si>
  <si>
    <t>Billet avion (aller/retour)</t>
  </si>
  <si>
    <t>Perdiems agents en mission</t>
  </si>
  <si>
    <t>Frais administratifs</t>
  </si>
  <si>
    <t>KISSILI</t>
  </si>
  <si>
    <t>2.1 CRS/KISSILI (Janvier à Décembre 2018)</t>
  </si>
  <si>
    <t>2.1 Ressource PAM Cantines scolaires ( Janvier à Juin 18 )</t>
  </si>
  <si>
    <t>Commission de gestion</t>
  </si>
  <si>
    <t>2.1 Ressources Autre Terre (Janvier à Décembre 2018)</t>
  </si>
  <si>
    <t xml:space="preserve">2.12 Appui aux rencontres des producteurs pour leur constition en faitière </t>
  </si>
  <si>
    <t xml:space="preserve">2.1 Ressource PACEN ( Janvier à Décembre 2018) </t>
  </si>
  <si>
    <t>2.1 BUDGET MICROPROJET DE REALISATION DE DEUX SYSTÈMES D'ADDUCTION D'EAU SOMMAIRE  A TALATAYE VILLAGE (COMMUNE RURALE DE TALATAYE) ET TESSIT VILLAGE (COMMUNE RURALE DE TESSIT)   DANS LE CERCLE D'ANSONGO</t>
  </si>
  <si>
    <t>Confection plaques de visibilité</t>
  </si>
  <si>
    <t>GIZ/PASP</t>
  </si>
  <si>
    <t>2.1 RIDAP</t>
  </si>
  <si>
    <t xml:space="preserve">Cluster 1.1. Fédérations et Associations : Collectifs des femmes pasteurs, associations des jeunes pasteurs </t>
  </si>
  <si>
    <t xml:space="preserve">1.1.3 Mise en relation et adhésion aux plates nationales : RBM (Missions d'échanges avec les OP nationales, Constitution  dossier d'adhésions, …) </t>
  </si>
  <si>
    <t>1.1. 2. Renforcement des capacités (organisation des AG, rapportage …) et soutien au processus de mise en place de Coordinations locales et régionales des pasteurs dans les 4 cercles (Information, AG, constitution dossiers, reconnaissance administrative…)</t>
  </si>
  <si>
    <t>1.1.1. Identification préalable à l'étude de base/diagnostics des organisations de pasteurs et des réseaux susceptibles de les appuyer dans les cercles de Mopti, Djenné, Baraouéli et Ségou (missions de mobilisation et  de sensibilisation)</t>
  </si>
  <si>
    <t xml:space="preserve">1.1.6 Mise en relation et adhésion au collectif des femmes pasteures du RBM (Missions d'échanges avec les OP nationales, Constitution  dossier d'adhésions, …) </t>
  </si>
  <si>
    <t>1.1.5.  Soutenir un processus de mise en place de faitières des femmes pasteures dans les 4 cercles (Information, AG, constitution dossiers, reconnaissance administrative…)</t>
  </si>
  <si>
    <t>1.1.4 Identifier les organisations de pasteurs de femmes dans les cercles de Mopti, Djenné, Baraouéli et Ségou (missions de mobilisation, de senssibilisation, des AG …)</t>
  </si>
  <si>
    <t xml:space="preserve">Cluster 1.2. Coopératives et GIE pour la production agricole et pastorale     </t>
  </si>
  <si>
    <t>1.2.1. Elaboration d'un plan d'action basé sur les priorités degagées par l'étude</t>
  </si>
  <si>
    <t xml:space="preserve">1.2.2. Consultation préparatoire des jeunes pasteurs et bergers pour l'identification/structuration de mesures/actions d'accompagnement  et de réinsertion des jeunes pasteurs et bergers dans les régions de Ségou et Mopti </t>
  </si>
  <si>
    <t>1.2.3. Conduire une étude sur les mesures et actions efficaces d'accompgnement en faveur de la réinsertion des jeunes pasteurs et bergers dans les régions de Ségou et Mopti (TDR, Consultants, transport, restitution, validation…)</t>
  </si>
  <si>
    <t>Cluster 1.3. Coopératives et GIE pour la transformation</t>
  </si>
  <si>
    <t>1.2. 4. Formation thématiques des associations de collecteurs et transformatrices de la chaine de lait (gestion, hygiène…..) équipements adaptés et fonds de roulements des priorités degagées dans les régions de Ségou et Mopti</t>
  </si>
  <si>
    <t>Cluster 1.4. Leaders communautaires, leaders religieux, chefs coutumiers, Conseils des Sages, Djoros, Commissions Foncières (COFO)</t>
  </si>
  <si>
    <t>Formation des COFO en lien avec AMAPROS et ODI-Sahel</t>
  </si>
  <si>
    <t>Cluster 2.3. TASSAGHT</t>
  </si>
  <si>
    <t>Création d'une permanence animée au niveau central pour des échanges avec la plateforme nationale des éleveurs pasteurs du Mali, des partenaires du sous secteur de l'élevage à Bamako (Prise en charge permanent TASSAGHT - RBM au Mali: transport, participation concertations)</t>
  </si>
  <si>
    <t>Cluster 2.4. Partenaires stratégiques</t>
  </si>
  <si>
    <t>2.4.1. Fournir régulièrement des données nationales dans le cadre de la veille informative en milieu pastoral portée par le RBM afin que les préoccupations des pasteurs du Mali soient portées aussi au niveau régional dans le cadre d'une transhumance apaisée (participation aux concertations, prévention des conflits, cohésion sociale...)</t>
  </si>
  <si>
    <t>Cluster 3.1. Structures étatiques : Ministères de l'Agriculture, Environemment (incl. Eau &amp; Forêts), Femmes et Jeunes, Justice, Hydraulique, démembrements au niveau cercle et commune, services techniques</t>
  </si>
  <si>
    <t>3.1.1. Formation de 12 relais dans les régions de Ségou et Mopti sur les outils de veille informative pour la collecte, le partage d'informations en milieu pastoral et agro pastoral (paturages, sources d'eau, évenements critiques, camapgne agricole…)</t>
  </si>
  <si>
    <t>3.1.2. Appui au dispositif de collecte terrain, de traitement, de l'analyse de données pastorales et de leur diffusion dans le système officiel national (SAP, CSA, Directions techniques nationales, cadre harmonisé…) à travers des rencontres, participations aux réunions du niveau national, consultations techniques...</t>
  </si>
  <si>
    <t>Cluster 3.3. Collectivités territoriales (région, commune, cercle), élus locaux et députés, gouverneurs (région) et préfets (cercle), instituts de recherche</t>
  </si>
  <si>
    <t>3.3.1. Elaboration d'un plan d'action de plaidoyer pour stumilier  l'insertion régulières des questions paysannes dans les PDSEC et leur prise en compte dans les priorités planifiées annuellement</t>
  </si>
  <si>
    <t xml:space="preserve">3.3.2. Mise en œuvre du plan d'action de plaidoyer </t>
  </si>
  <si>
    <t>Baseline</t>
  </si>
  <si>
    <t>TOTAL ACTIVITES</t>
  </si>
  <si>
    <t>Meetings &amp; events</t>
  </si>
  <si>
    <t>Coordination/review meetings (Ségou/Bamako)</t>
  </si>
  <si>
    <t>Travel and accomodation</t>
  </si>
  <si>
    <t>Travel and accommodation (Ségou/Bamako)</t>
  </si>
  <si>
    <t>Per diem</t>
  </si>
  <si>
    <t>Per-diem (Ségou/Bamako)</t>
  </si>
  <si>
    <t>Reviews/studies/documentation</t>
  </si>
  <si>
    <t>Publications</t>
  </si>
  <si>
    <t>Consultant support</t>
  </si>
  <si>
    <t>Consultant fees</t>
  </si>
  <si>
    <t>Equipment and supplies</t>
  </si>
  <si>
    <t>Motobikes - Motos</t>
  </si>
  <si>
    <t>Car rental - location de véhicule</t>
  </si>
  <si>
    <t>Fuel - carburant</t>
  </si>
  <si>
    <t>Staff</t>
  </si>
  <si>
    <t>RIDAP Project Officer - Chargé de projet</t>
  </si>
  <si>
    <t>S&amp;E Officer - Chargé de S&amp;E</t>
  </si>
  <si>
    <t>Local Coordinators - Animateurs (2)</t>
  </si>
  <si>
    <t>Financial Officer Assistant - Assistant financier (1)</t>
  </si>
  <si>
    <t>TOTAL FONCTIONNEMENT</t>
  </si>
  <si>
    <t>GRAND TOTAL FCFA</t>
  </si>
  <si>
    <t>RIDAP</t>
  </si>
  <si>
    <t>Charges sociales</t>
  </si>
  <si>
    <t>Consultants</t>
  </si>
  <si>
    <t>Voyages</t>
  </si>
  <si>
    <t>Salaires</t>
  </si>
  <si>
    <t>Equipements</t>
  </si>
  <si>
    <t>Couts opérationnels</t>
  </si>
  <si>
    <t>Sous- traitants</t>
  </si>
  <si>
    <t>Inagar</t>
  </si>
  <si>
    <t>Tinfadimata</t>
  </si>
  <si>
    <t>2.1 MINUSMA INAGAR et TINFADIMATA</t>
  </si>
  <si>
    <t>Site cantonnement de Inagar</t>
  </si>
  <si>
    <t>Site cantonnement deTinfadimata</t>
  </si>
  <si>
    <t>Construction mur sécurisation sur 2 sites cantonnements dans la région de Menaka</t>
  </si>
  <si>
    <t>II Dépenses</t>
  </si>
  <si>
    <t>2.2 Emploi UNICEF (Juin à Décembre 2018)</t>
  </si>
  <si>
    <r>
      <t xml:space="preserve">2.2 Emploi WASH NORAD AEN </t>
    </r>
    <r>
      <rPr>
        <sz val="10"/>
        <rFont val="Calibri"/>
        <family val="2"/>
      </rPr>
      <t>(Janvier à Décembre 2018)</t>
    </r>
  </si>
  <si>
    <t>2.2 Emploi ARC PAIX AEN (Janvier à Décembre 2018)</t>
  </si>
  <si>
    <t>2.2 Emploi PAM Cantines scolaires ( Janvier à Juin 18 )</t>
  </si>
  <si>
    <t>2.2 Emploi Autre Terre (Janvier à Décembre 2018)</t>
  </si>
  <si>
    <t>2.2 Emploi BUDGET MICROPROJET DE REALISATION DE DEUX SYSTÈMES D'ADDUCTION D'EAU SOMMAIRE  A TALATAYE VILLAGE (COMMUNE RURALE DE TALATAYE) ET TESSIT VILLAGE (COMMUNE RURALE DE TESSIT)   DANS LE CERCLE D'ANSONGO</t>
  </si>
  <si>
    <t>2.2 Emploi CRS/KISSILI (Janvier à Décembre 2018)</t>
  </si>
  <si>
    <t>2.2 Emploi Projet PACETEM (Mai 2018 à Décembre 2018)</t>
  </si>
  <si>
    <t>2.2 Emploi BRACED ( Janvier à Décembre 2018)</t>
  </si>
  <si>
    <t xml:space="preserve">2.2 Emploi PACEN ( Janvier à Décembre 2018) </t>
  </si>
  <si>
    <t>2.2 Emploi DANIDA ( Décembre 2018)</t>
  </si>
  <si>
    <t>2.2 Emploi STAMP  ( Janvier à Décembre 2018)</t>
  </si>
  <si>
    <t>2.2 Emploi MINUSMA INAGAR et TINFADIMATA</t>
  </si>
  <si>
    <t>2.2 Emploi RIDAP</t>
  </si>
  <si>
    <t>2.1 FISOREP  2018</t>
  </si>
  <si>
    <t>2.2 Emploi FISOREP  2018</t>
  </si>
  <si>
    <t>2.2 Emploi SSGI ( Janvier à Décembre 18 )</t>
  </si>
  <si>
    <t>2.1 Ressource SSGI ( Janvier à Décembre 18 )</t>
  </si>
  <si>
    <t>GFFO III</t>
  </si>
  <si>
    <t>2.2 Emploi GFFO III ( Février 2018 à Décembre 2018 )</t>
  </si>
  <si>
    <t>WHH</t>
  </si>
  <si>
    <t>2.1 GFFO III ( Févvier 2018 à Février 2019 )</t>
  </si>
  <si>
    <r>
      <t>2.2 Emploi</t>
    </r>
    <r>
      <rPr>
        <sz val="10"/>
        <rFont val="Calibri"/>
        <family val="2"/>
      </rPr>
      <t xml:space="preserve"> WHH (janvier à décembre 2018)</t>
    </r>
  </si>
  <si>
    <t>2.1 Ressource WHH (janvier à décembre 2018)</t>
  </si>
  <si>
    <t>L'exécution limitée par l'insécurité dans les zones d'intervention.</t>
  </si>
  <si>
    <t>L'absence des services techniques, administratifs et privés dans certaines zones d'intervention</t>
  </si>
  <si>
    <t xml:space="preserve">VI. Difficultés rencontreés : </t>
  </si>
  <si>
    <t>Le retard dans les décaissements de certains projets/Programmes.</t>
  </si>
  <si>
    <t>PROREZA /LAFIA</t>
  </si>
  <si>
    <t>PROREZA /LVIA</t>
  </si>
  <si>
    <t>2.2 Emploi PROREZA/LAFIA ( Janvier à Décembre 18 )</t>
  </si>
  <si>
    <t>2.2 Emploi «Renforcement des capacités de résilience à l’insécurité alimentaire et nutritionnelle des populations vulnérables dans les régions de Gao et Mopti»PROREZA/LVIA ( Janvier à Décembre 18 )</t>
  </si>
  <si>
    <t>2.1 Ressource PROREZA/LAFIA ( Janvier à Décembre 18 )</t>
  </si>
  <si>
    <t>2.1 «Renforcement des capacités de résilience à l’insécurité alimentaire et nutritionnelle des populations vulnérables dans les régions de Gao et Mopti»PROREZA/LVIA ( Janvier à Décembre 18 )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</si>
</sst>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00_);_(* \(#,##0.00\);_(* &quot;-&quot;??_);_(@_)"/>
    <numFmt numFmtId="166" formatCode="_(* #,##0_);_(* \(#,##0\);_(* &quot;-&quot;??_);_(@_)"/>
    <numFmt numFmtId="167" formatCode="[$$-409]#,##0"/>
    <numFmt numFmtId="168" formatCode="_-* #,##0\ _€_-;\-* #,##0\ _€_-;_-* &quot;-&quot;??\ _€_-;_-@_-"/>
    <numFmt numFmtId="169" formatCode="#,##0_ ;\-#,##0\ "/>
    <numFmt numFmtId="170" formatCode="_-* #,##0.00_-;\-* #,##0.00_-;_-* &quot;-&quot;??_-;_-@_-"/>
    <numFmt numFmtId="171" formatCode="_ * #,##0.00_)_C_F_A_ ;_ * \(#,##0.00\)_C_F_A_ ;_ * &quot;-&quot;??_)_C_F_A_ ;_ @_ "/>
    <numFmt numFmtId="172" formatCode="_ * #,##0_)_C_F_A_ ;_ * \(#,##0\)_C_F_A_ ;_ * &quot;-&quot;??_)_C_F_A_ ;_ @_ "/>
    <numFmt numFmtId="173" formatCode="[$-409]d\-mmm\-yy;@"/>
    <numFmt numFmtId="174" formatCode="#,##0.00;[Red]#,##0.00"/>
    <numFmt numFmtId="175" formatCode="#\ ###\ ##0"/>
    <numFmt numFmtId="176" formatCode="#,##0.00_);\(#,##0.00\)"/>
    <numFmt numFmtId="177" formatCode="m/d/yyyy"/>
    <numFmt numFmtId="178" formatCode="_-* #,##0.00\ _f_c_f_a_-;\-* #,##0.00\ _f_c_f_a_-;_-* &quot;-&quot;??\ _f_c_f_a_-;_-@_-"/>
    <numFmt numFmtId="179" formatCode="0.0"/>
    <numFmt numFmtId="180" formatCode="_-* #,##0.0\ _€_-;\-* #,##0.0\ _€_-;_-* &quot;-&quot;??\ _€_-;_-@_-"/>
    <numFmt numFmtId="181" formatCode="_-* #,##0.00\ _F_-;\-* #,##0.00\ _F_-;_-* &quot;-&quot;??\ _F_-;_-@_-"/>
  </numFmts>
  <fonts count="89">
    <font>
      <sz val="11"/>
      <color theme="1"/>
      <name val="Calibri"/>
      <family val="2"/>
    </font>
    <font>
      <sz val="11"/>
      <color indexed="8"/>
      <name val="Calibri"/>
      <family val="2"/>
    </font>
    <font>
      <sz val="10"/>
      <name val="Arial"/>
      <family val="2"/>
    </font>
    <font>
      <b/>
      <i/>
      <sz val="10"/>
      <name val="Arial"/>
      <family val="2"/>
    </font>
    <font>
      <b/>
      <sz val="10"/>
      <name val="Arial"/>
      <family val="2"/>
    </font>
    <font>
      <b/>
      <sz val="10"/>
      <name val="Bookman Old Style"/>
      <family val="1"/>
    </font>
    <font>
      <sz val="9"/>
      <name val="Tahoma"/>
      <family val="2"/>
    </font>
    <font>
      <b/>
      <sz val="9"/>
      <name val="Tahoma"/>
      <family val="2"/>
    </font>
    <font>
      <sz val="10"/>
      <name val="Calibri"/>
      <family val="2"/>
    </font>
    <font>
      <sz val="10"/>
      <name val="Bookman Old Style"/>
      <family val="1"/>
    </font>
    <font>
      <b/>
      <sz val="10"/>
      <name val="Calibri"/>
      <family val="2"/>
    </font>
    <font>
      <sz val="11"/>
      <name val="Calibri"/>
      <family val="2"/>
    </font>
    <font>
      <sz val="8"/>
      <name val="Arial"/>
      <family val="2"/>
    </font>
    <font>
      <b/>
      <sz val="12"/>
      <name val="Calibri"/>
      <family val="2"/>
    </font>
    <font>
      <sz val="10"/>
      <name val="Times New Roman"/>
      <family val="1"/>
    </font>
    <font>
      <sz val="10"/>
      <name val="Arial Narrow"/>
      <family val="2"/>
    </font>
    <font>
      <sz val="10"/>
      <color indexed="8"/>
      <name val="Calibri"/>
      <family val="2"/>
    </font>
    <font>
      <b/>
      <sz val="12"/>
      <name val="Arial"/>
      <family val="2"/>
    </font>
    <font>
      <b/>
      <sz val="11"/>
      <name val="Arial"/>
      <family val="2"/>
    </font>
    <font>
      <b/>
      <sz val="10"/>
      <name val="Times New Roman"/>
      <family val="1"/>
    </font>
    <font>
      <b/>
      <sz val="16"/>
      <name val="Times New Roman"/>
      <family val="1"/>
    </font>
    <font>
      <sz val="10"/>
      <name val="Garamond"/>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2"/>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sz val="10"/>
      <color indexed="8"/>
      <name val="Arial Narrow"/>
      <family val="2"/>
    </font>
    <font>
      <b/>
      <sz val="10"/>
      <color indexed="8"/>
      <name val="Calibri"/>
      <family val="2"/>
    </font>
    <font>
      <b/>
      <i/>
      <sz val="11"/>
      <color indexed="8"/>
      <name val="Calibri"/>
      <family val="2"/>
    </font>
    <font>
      <b/>
      <sz val="11"/>
      <name val="Calibri"/>
      <family val="2"/>
    </font>
    <font>
      <sz val="10"/>
      <color indexed="10"/>
      <name val="Calibri"/>
      <family val="2"/>
    </font>
    <font>
      <sz val="10"/>
      <color indexed="10"/>
      <name val="Arial"/>
      <family val="2"/>
    </font>
    <font>
      <b/>
      <sz val="10"/>
      <color indexed="10"/>
      <name val="Arial"/>
      <family val="2"/>
    </font>
    <font>
      <sz val="10"/>
      <color indexed="10"/>
      <name val="Bookman Old Style"/>
      <family val="1"/>
    </font>
    <font>
      <sz val="10"/>
      <color indexed="10"/>
      <name val="Arial Narrow"/>
      <family val="2"/>
    </font>
    <font>
      <b/>
      <i/>
      <sz val="10"/>
      <name val="Calibri"/>
      <family val="2"/>
    </font>
    <font>
      <b/>
      <sz val="12"/>
      <color indexed="8"/>
      <name val="Calibri"/>
      <family val="2"/>
    </font>
    <font>
      <b/>
      <sz val="12"/>
      <color indexed="9"/>
      <name val="Arial"/>
      <family val="2"/>
    </font>
    <font>
      <b/>
      <i/>
      <sz val="10"/>
      <color indexed="8"/>
      <name val="Arial"/>
      <family val="2"/>
    </font>
    <font>
      <b/>
      <sz val="10"/>
      <color indexed="8"/>
      <name val="Times New Roman"/>
      <family val="1"/>
    </font>
    <font>
      <b/>
      <i/>
      <sz val="10"/>
      <color indexed="8"/>
      <name val="Calibri"/>
      <family val="2"/>
    </font>
    <font>
      <b/>
      <sz val="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2"/>
      <color theme="1"/>
      <name val="Times New Roman"/>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sz val="10"/>
      <color theme="1"/>
      <name val="Arial Narrow"/>
      <family val="2"/>
    </font>
    <font>
      <b/>
      <sz val="10"/>
      <color theme="1"/>
      <name val="Calibri"/>
      <family val="2"/>
    </font>
    <font>
      <sz val="10"/>
      <color theme="1"/>
      <name val="Calibri"/>
      <family val="2"/>
    </font>
    <font>
      <b/>
      <i/>
      <sz val="11"/>
      <color theme="1"/>
      <name val="Calibri"/>
      <family val="2"/>
    </font>
    <font>
      <sz val="10"/>
      <color rgb="FFFF0000"/>
      <name val="Calibri"/>
      <family val="2"/>
    </font>
    <font>
      <sz val="10"/>
      <color rgb="FFFF0000"/>
      <name val="Arial"/>
      <family val="2"/>
    </font>
    <font>
      <b/>
      <sz val="10"/>
      <color rgb="FFFF0000"/>
      <name val="Arial"/>
      <family val="2"/>
    </font>
    <font>
      <sz val="10"/>
      <color rgb="FFFF0000"/>
      <name val="Bookman Old Style"/>
      <family val="1"/>
    </font>
    <font>
      <sz val="10"/>
      <color rgb="FFFF0000"/>
      <name val="Arial Narrow"/>
      <family val="2"/>
    </font>
    <font>
      <b/>
      <sz val="12"/>
      <color theme="1"/>
      <name val="Calibri"/>
      <family val="2"/>
    </font>
    <font>
      <b/>
      <sz val="12"/>
      <color theme="0"/>
      <name val="Arial"/>
      <family val="2"/>
    </font>
    <font>
      <b/>
      <i/>
      <sz val="10"/>
      <color theme="1"/>
      <name val="Arial"/>
      <family val="2"/>
    </font>
    <font>
      <b/>
      <sz val="10"/>
      <color theme="1"/>
      <name val="Times New Roman"/>
      <family val="1"/>
    </font>
    <font>
      <b/>
      <i/>
      <sz val="10"/>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B0F0"/>
        <bgColor indexed="64"/>
      </patternFill>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gray0625">
        <bgColor theme="0"/>
      </patternFill>
    </fill>
    <fill>
      <patternFill patternType="solid">
        <fgColor theme="2" tint="-0.24997000396251678"/>
        <bgColor indexed="64"/>
      </patternFill>
    </fill>
    <fill>
      <patternFill patternType="solid">
        <fgColor rgb="FFCCCC00"/>
        <bgColor indexed="64"/>
      </patternFill>
    </fill>
    <fill>
      <patternFill patternType="solid">
        <fgColor theme="0"/>
        <bgColor indexed="64"/>
      </patternFill>
    </fill>
    <fill>
      <patternFill patternType="solid">
        <fgColor theme="2"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hair"/>
    </border>
    <border>
      <left style="medium"/>
      <right style="thin"/>
      <top style="medium"/>
      <bottom style="medium"/>
    </border>
    <border>
      <left style="medium"/>
      <right>
        <color indexed="63"/>
      </right>
      <top style="medium"/>
      <bottom style="medium"/>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top/>
      <bottom style="hair"/>
    </border>
    <border>
      <left style="medium"/>
      <right>
        <color indexed="63"/>
      </right>
      <top style="thin"/>
      <bottom style="thin"/>
    </border>
    <border>
      <left style="medium"/>
      <right style="thin"/>
      <top/>
      <bottom style="hair"/>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hair"/>
      <bottom/>
    </border>
    <border>
      <left style="medium"/>
      <right style="medium"/>
      <top style="hair"/>
      <bottom style="medium"/>
    </border>
    <border>
      <left style="thin"/>
      <right style="medium"/>
      <top style="medium"/>
      <bottom/>
    </border>
    <border>
      <left style="thin"/>
      <right style="medium"/>
      <top/>
      <bottom/>
    </border>
    <border>
      <left style="medium"/>
      <right style="thin"/>
      <top/>
      <bottom style="thin"/>
    </border>
    <border>
      <left style="medium"/>
      <right style="thin"/>
      <top style="thin"/>
      <bottom style="thin"/>
    </border>
    <border>
      <left style="medium"/>
      <right style="medium"/>
      <top style="thin"/>
      <bottom style="thin"/>
    </border>
    <border>
      <left style="thin"/>
      <right style="thin"/>
      <top style="thin"/>
      <bottom style="medium"/>
    </border>
    <border>
      <left style="thin"/>
      <right style="thin"/>
      <top>
        <color indexed="63"/>
      </top>
      <bottom>
        <color indexed="63"/>
      </bottom>
    </border>
    <border>
      <left style="thin"/>
      <right style="thin"/>
      <top style="medium"/>
      <bottom style="hair"/>
    </border>
    <border>
      <left style="thin"/>
      <right style="thin"/>
      <top style="hair"/>
      <bottom/>
    </border>
    <border>
      <left style="medium"/>
      <right/>
      <top style="medium"/>
      <bottom style="hair"/>
    </border>
    <border>
      <left style="medium"/>
      <right/>
      <top style="hair"/>
      <bottom style="hair"/>
    </border>
    <border>
      <left style="medium"/>
      <right/>
      <top style="hair"/>
      <bottom/>
    </border>
    <border>
      <left style="medium"/>
      <right/>
      <top style="hair"/>
      <bottom style="medium"/>
    </border>
    <border>
      <left style="thin"/>
      <right>
        <color indexed="63"/>
      </right>
      <top style="thin"/>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medium"/>
    </border>
    <border>
      <left style="medium"/>
      <right style="medium"/>
      <top style="thin"/>
      <bottom style="medium"/>
    </border>
    <border>
      <left style="medium"/>
      <right style="medium"/>
      <top>
        <color indexed="63"/>
      </top>
      <bottom>
        <color indexed="63"/>
      </bottom>
    </border>
    <border>
      <left style="thin"/>
      <right style="medium"/>
      <top style="thin"/>
      <bottom style="thin"/>
    </border>
    <border>
      <left>
        <color indexed="63"/>
      </left>
      <right style="medium"/>
      <top>
        <color indexed="63"/>
      </top>
      <bottom>
        <color indexed="63"/>
      </bottom>
    </border>
    <border>
      <left>
        <color indexed="63"/>
      </left>
      <right style="medium"/>
      <top style="thin"/>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165" fontId="2" fillId="0" borderId="0" applyFont="0" applyFill="0" applyBorder="0" applyAlignment="0" applyProtection="0"/>
    <xf numFmtId="0" fontId="0" fillId="27" borderId="3" applyNumberFormat="0" applyFont="0" applyAlignment="0" applyProtection="0"/>
    <xf numFmtId="0" fontId="60" fillId="28" borderId="1" applyNumberFormat="0" applyAlignment="0" applyProtection="0"/>
    <xf numFmtId="0" fontId="6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208">
    <xf numFmtId="0" fontId="0" fillId="0" borderId="0" xfId="0" applyFont="1" applyAlignment="1">
      <alignment/>
    </xf>
    <xf numFmtId="0" fontId="0" fillId="0" borderId="0" xfId="0" applyAlignment="1">
      <alignment/>
    </xf>
    <xf numFmtId="0" fontId="0" fillId="0" borderId="0" xfId="0" applyAlignment="1">
      <alignment/>
    </xf>
    <xf numFmtId="0" fontId="3" fillId="0" borderId="10" xfId="0" applyFont="1" applyBorder="1" applyAlignment="1">
      <alignment horizontal="left" wrapText="1"/>
    </xf>
    <xf numFmtId="164" fontId="2" fillId="0" borderId="10" xfId="0" applyNumberFormat="1" applyFont="1" applyBorder="1" applyAlignment="1">
      <alignment/>
    </xf>
    <xf numFmtId="0" fontId="2" fillId="0" borderId="10" xfId="0" applyFont="1" applyBorder="1" applyAlignment="1">
      <alignment/>
    </xf>
    <xf numFmtId="0" fontId="0" fillId="0" borderId="0" xfId="0" applyAlignment="1">
      <alignment/>
    </xf>
    <xf numFmtId="0" fontId="0" fillId="0" borderId="0" xfId="0" applyAlignment="1">
      <alignment/>
    </xf>
    <xf numFmtId="3" fontId="0" fillId="0" borderId="0" xfId="0" applyNumberFormat="1" applyAlignment="1">
      <alignment/>
    </xf>
    <xf numFmtId="0" fontId="0" fillId="0" borderId="0" xfId="0" applyAlignment="1">
      <alignment/>
    </xf>
    <xf numFmtId="0" fontId="4" fillId="19" borderId="11" xfId="66" applyFont="1" applyFill="1" applyBorder="1">
      <alignment/>
      <protection/>
    </xf>
    <xf numFmtId="0" fontId="4" fillId="33" borderId="12" xfId="66" applyFont="1" applyFill="1" applyBorder="1">
      <alignment/>
      <protection/>
    </xf>
    <xf numFmtId="0" fontId="4" fillId="19" borderId="13" xfId="66" applyFont="1" applyFill="1" applyBorder="1" applyAlignment="1">
      <alignment wrapText="1"/>
      <protection/>
    </xf>
    <xf numFmtId="0" fontId="4" fillId="33" borderId="13" xfId="66" applyFont="1" applyFill="1" applyBorder="1" applyAlignment="1">
      <alignment horizontal="center"/>
      <protection/>
    </xf>
    <xf numFmtId="0" fontId="4" fillId="8" borderId="14" xfId="66" applyFont="1" applyFill="1" applyBorder="1">
      <alignment/>
      <protection/>
    </xf>
    <xf numFmtId="0" fontId="73" fillId="34" borderId="14" xfId="66" applyFont="1" applyFill="1" applyBorder="1">
      <alignment/>
      <protection/>
    </xf>
    <xf numFmtId="168" fontId="2" fillId="35" borderId="15" xfId="46" applyNumberFormat="1" applyFont="1" applyFill="1" applyBorder="1" applyAlignment="1">
      <alignment/>
    </xf>
    <xf numFmtId="168" fontId="2" fillId="35" borderId="16" xfId="46" applyNumberFormat="1" applyFont="1" applyFill="1" applyBorder="1" applyAlignment="1">
      <alignment/>
    </xf>
    <xf numFmtId="168" fontId="2" fillId="36" borderId="17" xfId="46" applyNumberFormat="1" applyFont="1" applyFill="1" applyBorder="1" applyAlignment="1">
      <alignment/>
    </xf>
    <xf numFmtId="168" fontId="2" fillId="0" borderId="16" xfId="46" applyNumberFormat="1" applyFont="1" applyBorder="1" applyAlignment="1">
      <alignment/>
    </xf>
    <xf numFmtId="168" fontId="0" fillId="0" borderId="0" xfId="0" applyNumberFormat="1" applyAlignment="1">
      <alignment/>
    </xf>
    <xf numFmtId="0" fontId="0" fillId="0" borderId="0" xfId="0" applyFill="1" applyBorder="1" applyAlignment="1">
      <alignment/>
    </xf>
    <xf numFmtId="0" fontId="74" fillId="0" borderId="18" xfId="0" applyFont="1" applyBorder="1" applyAlignment="1">
      <alignment/>
    </xf>
    <xf numFmtId="0" fontId="75" fillId="0" borderId="0" xfId="0" applyFont="1" applyAlignment="1">
      <alignment/>
    </xf>
    <xf numFmtId="0" fontId="76" fillId="0" borderId="0" xfId="0" applyFont="1" applyAlignment="1">
      <alignment/>
    </xf>
    <xf numFmtId="3" fontId="8" fillId="0" borderId="10" xfId="0" applyNumberFormat="1" applyFont="1" applyBorder="1" applyAlignment="1">
      <alignment/>
    </xf>
    <xf numFmtId="0" fontId="8" fillId="0" borderId="0" xfId="0" applyFont="1" applyAlignment="1">
      <alignment/>
    </xf>
    <xf numFmtId="3" fontId="8" fillId="37" borderId="10" xfId="0" applyNumberFormat="1" applyFont="1" applyFill="1" applyBorder="1" applyAlignment="1">
      <alignment/>
    </xf>
    <xf numFmtId="0" fontId="8" fillId="0" borderId="10" xfId="0" applyFont="1" applyBorder="1" applyAlignment="1">
      <alignment/>
    </xf>
    <xf numFmtId="168" fontId="4" fillId="8" borderId="19" xfId="46" applyNumberFormat="1" applyFont="1" applyFill="1" applyBorder="1" applyAlignment="1">
      <alignment/>
    </xf>
    <xf numFmtId="168" fontId="8" fillId="35" borderId="15" xfId="46" applyNumberFormat="1" applyFont="1" applyFill="1" applyBorder="1" applyAlignment="1">
      <alignment wrapText="1"/>
    </xf>
    <xf numFmtId="168" fontId="4" fillId="19" borderId="11" xfId="46" applyNumberFormat="1" applyFont="1" applyFill="1" applyBorder="1" applyAlignment="1">
      <alignment/>
    </xf>
    <xf numFmtId="0" fontId="8" fillId="0" borderId="0" xfId="0" applyFont="1" applyAlignment="1">
      <alignment wrapText="1"/>
    </xf>
    <xf numFmtId="0" fontId="2" fillId="0" borderId="10" xfId="0" applyFont="1" applyBorder="1" applyAlignment="1">
      <alignment wrapText="1"/>
    </xf>
    <xf numFmtId="0" fontId="5"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xf>
    <xf numFmtId="3" fontId="8" fillId="0" borderId="20" xfId="0" applyNumberFormat="1" applyFont="1" applyBorder="1" applyAlignment="1">
      <alignment/>
    </xf>
    <xf numFmtId="3" fontId="8" fillId="0" borderId="10" xfId="0" applyNumberFormat="1" applyFont="1" applyBorder="1" applyAlignment="1">
      <alignment/>
    </xf>
    <xf numFmtId="3" fontId="8" fillId="0" borderId="10" xfId="0" applyNumberFormat="1" applyFont="1" applyBorder="1" applyAlignment="1">
      <alignment vertical="center"/>
    </xf>
    <xf numFmtId="3" fontId="8" fillId="0" borderId="21" xfId="0" applyNumberFormat="1" applyFont="1" applyBorder="1" applyAlignment="1">
      <alignment/>
    </xf>
    <xf numFmtId="0" fontId="8" fillId="38" borderId="10" xfId="0" applyFont="1" applyFill="1" applyBorder="1" applyAlignment="1">
      <alignment horizontal="justify" vertical="center" wrapText="1"/>
    </xf>
    <xf numFmtId="3" fontId="8" fillId="38" borderId="10" xfId="0" applyNumberFormat="1" applyFont="1" applyFill="1" applyBorder="1" applyAlignment="1">
      <alignment horizontal="right" vertical="center" wrapText="1"/>
    </xf>
    <xf numFmtId="0" fontId="9" fillId="37" borderId="10" xfId="0" applyFont="1" applyFill="1" applyBorder="1" applyAlignment="1">
      <alignment horizontal="left" vertical="center" wrapText="1"/>
    </xf>
    <xf numFmtId="3" fontId="8" fillId="37" borderId="10" xfId="0" applyNumberFormat="1" applyFont="1" applyFill="1" applyBorder="1" applyAlignment="1">
      <alignment/>
    </xf>
    <xf numFmtId="3" fontId="10" fillId="37" borderId="10" xfId="0" applyNumberFormat="1" applyFont="1" applyFill="1" applyBorder="1" applyAlignment="1">
      <alignment/>
    </xf>
    <xf numFmtId="0" fontId="0" fillId="0" borderId="0" xfId="0" applyFont="1" applyAlignment="1">
      <alignment/>
    </xf>
    <xf numFmtId="0" fontId="71" fillId="0" borderId="0" xfId="0" applyFont="1" applyAlignment="1">
      <alignment/>
    </xf>
    <xf numFmtId="0" fontId="0" fillId="0" borderId="22" xfId="0" applyFont="1" applyBorder="1" applyAlignment="1">
      <alignment/>
    </xf>
    <xf numFmtId="0" fontId="0" fillId="0" borderId="23" xfId="0" applyFont="1" applyBorder="1" applyAlignment="1">
      <alignment/>
    </xf>
    <xf numFmtId="3" fontId="71" fillId="0" borderId="10" xfId="0" applyNumberFormat="1" applyFont="1" applyBorder="1" applyAlignment="1">
      <alignment/>
    </xf>
    <xf numFmtId="3" fontId="71" fillId="0" borderId="10" xfId="0" applyNumberFormat="1" applyFont="1" applyBorder="1" applyAlignment="1">
      <alignment horizontal="center"/>
    </xf>
    <xf numFmtId="0" fontId="77" fillId="0" borderId="22" xfId="0" applyFont="1" applyBorder="1" applyAlignment="1">
      <alignment/>
    </xf>
    <xf numFmtId="3" fontId="11" fillId="0" borderId="10" xfId="0" applyNumberFormat="1" applyFont="1" applyBorder="1" applyAlignment="1">
      <alignment/>
    </xf>
    <xf numFmtId="3" fontId="0" fillId="0" borderId="10" xfId="0" applyNumberFormat="1" applyFont="1" applyBorder="1" applyAlignment="1">
      <alignment/>
    </xf>
    <xf numFmtId="0" fontId="11" fillId="0" borderId="0" xfId="0" applyFont="1" applyAlignment="1">
      <alignment/>
    </xf>
    <xf numFmtId="0" fontId="77" fillId="0" borderId="0" xfId="0" applyFont="1" applyAlignment="1">
      <alignment/>
    </xf>
    <xf numFmtId="3" fontId="43" fillId="0" borderId="10" xfId="0" applyNumberFormat="1" applyFont="1" applyBorder="1" applyAlignment="1">
      <alignment/>
    </xf>
    <xf numFmtId="3" fontId="43" fillId="0" borderId="10" xfId="0" applyNumberFormat="1" applyFont="1" applyBorder="1" applyAlignment="1">
      <alignment horizontal="center"/>
    </xf>
    <xf numFmtId="0" fontId="77" fillId="0" borderId="10" xfId="0" applyFont="1" applyBorder="1" applyAlignment="1">
      <alignment/>
    </xf>
    <xf numFmtId="0" fontId="0" fillId="0" borderId="10" xfId="0" applyFont="1" applyBorder="1" applyAlignment="1">
      <alignment/>
    </xf>
    <xf numFmtId="3" fontId="0" fillId="0" borderId="0" xfId="0" applyNumberFormat="1" applyFont="1" applyAlignment="1">
      <alignment/>
    </xf>
    <xf numFmtId="3" fontId="78" fillId="0" borderId="10" xfId="0" applyNumberFormat="1" applyFont="1" applyBorder="1" applyAlignment="1">
      <alignment/>
    </xf>
    <xf numFmtId="0" fontId="78" fillId="0" borderId="0" xfId="0" applyFont="1" applyAlignment="1">
      <alignment/>
    </xf>
    <xf numFmtId="0" fontId="78" fillId="0" borderId="10" xfId="0" applyFont="1" applyBorder="1" applyAlignment="1">
      <alignment/>
    </xf>
    <xf numFmtId="168" fontId="79" fillId="35" borderId="16" xfId="46" applyNumberFormat="1" applyFont="1" applyFill="1" applyBorder="1" applyAlignment="1">
      <alignment/>
    </xf>
    <xf numFmtId="168" fontId="80" fillId="39" borderId="11" xfId="46" applyNumberFormat="1" applyFont="1" applyFill="1" applyBorder="1" applyAlignment="1">
      <alignment/>
    </xf>
    <xf numFmtId="168" fontId="79" fillId="36" borderId="24" xfId="46" applyNumberFormat="1" applyFont="1" applyFill="1" applyBorder="1" applyAlignment="1">
      <alignment/>
    </xf>
    <xf numFmtId="168" fontId="79" fillId="35" borderId="25" xfId="46" applyNumberFormat="1" applyFont="1" applyFill="1" applyBorder="1" applyAlignment="1">
      <alignment/>
    </xf>
    <xf numFmtId="168" fontId="80" fillId="33" borderId="12" xfId="46" applyNumberFormat="1" applyFont="1" applyFill="1" applyBorder="1" applyAlignment="1">
      <alignment/>
    </xf>
    <xf numFmtId="168" fontId="79" fillId="0" borderId="16" xfId="46" applyNumberFormat="1" applyFont="1" applyBorder="1" applyAlignment="1">
      <alignment/>
    </xf>
    <xf numFmtId="0" fontId="81" fillId="0" borderId="0" xfId="0" applyFont="1" applyBorder="1" applyAlignment="1">
      <alignment horizontal="left" vertical="center" wrapText="1"/>
    </xf>
    <xf numFmtId="0" fontId="81" fillId="0" borderId="10" xfId="0" applyFont="1" applyBorder="1" applyAlignment="1">
      <alignment horizontal="left" vertical="center" wrapText="1"/>
    </xf>
    <xf numFmtId="0" fontId="82" fillId="0" borderId="10" xfId="0" applyFont="1" applyBorder="1" applyAlignment="1">
      <alignment/>
    </xf>
    <xf numFmtId="0" fontId="0" fillId="0" borderId="0" xfId="0" applyFill="1" applyBorder="1" applyAlignment="1">
      <alignment horizontal="center"/>
    </xf>
    <xf numFmtId="0" fontId="0" fillId="0" borderId="0" xfId="0" applyAlignment="1">
      <alignment horizontal="center"/>
    </xf>
    <xf numFmtId="0" fontId="8" fillId="0" borderId="10" xfId="0" applyFont="1" applyBorder="1" applyAlignment="1">
      <alignment horizontal="left" wrapText="1"/>
    </xf>
    <xf numFmtId="0" fontId="10" fillId="0" borderId="10" xfId="0" applyFont="1" applyBorder="1" applyAlignment="1">
      <alignment horizontal="center"/>
    </xf>
    <xf numFmtId="0" fontId="8" fillId="0" borderId="10" xfId="0" applyFont="1" applyBorder="1" applyAlignment="1">
      <alignment wrapText="1"/>
    </xf>
    <xf numFmtId="0" fontId="8" fillId="37" borderId="10" xfId="0" applyFont="1" applyFill="1" applyBorder="1" applyAlignment="1">
      <alignment/>
    </xf>
    <xf numFmtId="0" fontId="8" fillId="0" borderId="0" xfId="0" applyFont="1" applyAlignment="1">
      <alignment vertical="center" wrapText="1"/>
    </xf>
    <xf numFmtId="0" fontId="10" fillId="0" borderId="23" xfId="0" applyFont="1" applyBorder="1" applyAlignment="1">
      <alignment vertical="center"/>
    </xf>
    <xf numFmtId="0" fontId="12" fillId="0" borderId="23" xfId="66" applyFont="1" applyFill="1" applyBorder="1" applyAlignment="1">
      <alignment horizontal="left" vertical="center" wrapText="1"/>
      <protection/>
    </xf>
    <xf numFmtId="0" fontId="12" fillId="0" borderId="23" xfId="66" applyFont="1" applyFill="1" applyBorder="1" applyAlignment="1">
      <alignment vertical="center" wrapText="1"/>
      <protection/>
    </xf>
    <xf numFmtId="0" fontId="11" fillId="0" borderId="10" xfId="0" applyFont="1" applyBorder="1" applyAlignment="1">
      <alignment vertical="center" wrapText="1"/>
    </xf>
    <xf numFmtId="0" fontId="8" fillId="35" borderId="10" xfId="0" applyFont="1" applyFill="1" applyBorder="1" applyAlignment="1">
      <alignment vertical="top" wrapText="1"/>
    </xf>
    <xf numFmtId="0" fontId="8" fillId="35" borderId="0" xfId="0" applyFont="1" applyFill="1" applyBorder="1" applyAlignment="1">
      <alignment wrapText="1"/>
    </xf>
    <xf numFmtId="0" fontId="8" fillId="0" borderId="10" xfId="0" applyFont="1" applyBorder="1" applyAlignment="1">
      <alignment vertical="top" wrapText="1"/>
    </xf>
    <xf numFmtId="0" fontId="8" fillId="0" borderId="0" xfId="0" applyFont="1" applyAlignment="1">
      <alignment vertical="top" wrapText="1"/>
    </xf>
    <xf numFmtId="0" fontId="10" fillId="35" borderId="10" xfId="0" applyFont="1" applyFill="1" applyBorder="1" applyAlignment="1">
      <alignment horizontal="left" vertical="center" wrapText="1"/>
    </xf>
    <xf numFmtId="0" fontId="11" fillId="0" borderId="0" xfId="0" applyFont="1" applyAlignment="1">
      <alignment vertical="center" wrapText="1"/>
    </xf>
    <xf numFmtId="0" fontId="12" fillId="0" borderId="10" xfId="66" applyFont="1" applyFill="1" applyBorder="1" applyAlignment="1">
      <alignment vertical="top" wrapText="1"/>
      <protection/>
    </xf>
    <xf numFmtId="0" fontId="13" fillId="0" borderId="10" xfId="0" applyFont="1" applyBorder="1" applyAlignment="1">
      <alignment/>
    </xf>
    <xf numFmtId="0" fontId="12" fillId="0" borderId="10" xfId="66" applyFont="1" applyFill="1" applyBorder="1" applyAlignment="1">
      <alignment vertical="center" wrapText="1"/>
      <protection/>
    </xf>
    <xf numFmtId="0" fontId="13" fillId="0" borderId="10" xfId="0" applyFont="1" applyBorder="1" applyAlignment="1">
      <alignment vertical="center"/>
    </xf>
    <xf numFmtId="3" fontId="8" fillId="0" borderId="20" xfId="0" applyNumberFormat="1" applyFont="1" applyBorder="1" applyAlignment="1">
      <alignment horizontal="right"/>
    </xf>
    <xf numFmtId="3" fontId="8" fillId="0" borderId="21" xfId="0" applyNumberFormat="1" applyFont="1" applyBorder="1" applyAlignment="1">
      <alignment horizontal="right"/>
    </xf>
    <xf numFmtId="3" fontId="8" fillId="0" borderId="10" xfId="0" applyNumberFormat="1" applyFont="1" applyBorder="1" applyAlignment="1">
      <alignment horizontal="right"/>
    </xf>
    <xf numFmtId="3" fontId="10" fillId="0" borderId="10" xfId="0" applyNumberFormat="1" applyFont="1" applyBorder="1" applyAlignment="1">
      <alignment/>
    </xf>
    <xf numFmtId="0" fontId="10" fillId="37" borderId="10" xfId="0" applyFont="1" applyFill="1" applyBorder="1" applyAlignment="1">
      <alignment/>
    </xf>
    <xf numFmtId="0" fontId="14" fillId="0" borderId="26" xfId="0" applyNumberFormat="1" applyFont="1" applyBorder="1" applyAlignment="1">
      <alignment/>
    </xf>
    <xf numFmtId="0" fontId="14" fillId="0" borderId="27" xfId="0" applyNumberFormat="1" applyFont="1" applyBorder="1" applyAlignment="1">
      <alignment/>
    </xf>
    <xf numFmtId="3" fontId="8" fillId="0" borderId="28" xfId="46" applyNumberFormat="1" applyFont="1" applyBorder="1" applyAlignment="1">
      <alignment vertical="center"/>
    </xf>
    <xf numFmtId="3" fontId="8" fillId="0" borderId="29" xfId="46" applyNumberFormat="1" applyFont="1" applyBorder="1" applyAlignment="1">
      <alignment vertical="center"/>
    </xf>
    <xf numFmtId="168" fontId="15" fillId="0" borderId="30" xfId="46" applyNumberFormat="1" applyFont="1" applyBorder="1" applyAlignment="1">
      <alignment/>
    </xf>
    <xf numFmtId="0" fontId="76" fillId="0" borderId="22" xfId="0" applyFont="1" applyBorder="1" applyAlignment="1">
      <alignment wrapText="1"/>
    </xf>
    <xf numFmtId="0" fontId="75" fillId="40" borderId="22" xfId="0" applyFont="1" applyFill="1" applyBorder="1" applyAlignment="1">
      <alignment wrapText="1"/>
    </xf>
    <xf numFmtId="3" fontId="75" fillId="40" borderId="22" xfId="0" applyNumberFormat="1" applyFont="1" applyFill="1" applyBorder="1" applyAlignment="1">
      <alignment wrapText="1"/>
    </xf>
    <xf numFmtId="0" fontId="75" fillId="0" borderId="22" xfId="0" applyFont="1" applyBorder="1" applyAlignment="1">
      <alignment wrapText="1"/>
    </xf>
    <xf numFmtId="0" fontId="75" fillId="41" borderId="22" xfId="0" applyFont="1" applyFill="1" applyBorder="1" applyAlignment="1">
      <alignment wrapText="1"/>
    </xf>
    <xf numFmtId="3" fontId="75" fillId="41" borderId="22" xfId="0" applyNumberFormat="1" applyFont="1" applyFill="1" applyBorder="1" applyAlignment="1">
      <alignment wrapText="1"/>
    </xf>
    <xf numFmtId="0" fontId="75" fillId="40" borderId="22" xfId="0" applyFont="1" applyFill="1" applyBorder="1" applyAlignment="1">
      <alignment/>
    </xf>
    <xf numFmtId="0" fontId="10" fillId="35" borderId="10" xfId="0" applyFont="1" applyFill="1" applyBorder="1" applyAlignment="1">
      <alignment horizontal="left" vertical="top" wrapText="1"/>
    </xf>
    <xf numFmtId="0" fontId="10" fillId="35" borderId="10" xfId="0" applyFont="1" applyFill="1" applyBorder="1" applyAlignment="1">
      <alignment horizontal="left" wrapText="1"/>
    </xf>
    <xf numFmtId="0" fontId="10" fillId="35" borderId="20" xfId="0" applyFont="1" applyFill="1" applyBorder="1" applyAlignment="1">
      <alignment horizontal="left" wrapText="1"/>
    </xf>
    <xf numFmtId="0" fontId="75" fillId="0" borderId="10" xfId="0" applyFont="1" applyBorder="1" applyAlignment="1">
      <alignment wrapText="1"/>
    </xf>
    <xf numFmtId="0" fontId="8" fillId="37" borderId="10" xfId="0" applyFont="1" applyFill="1" applyBorder="1" applyAlignment="1">
      <alignment wrapText="1"/>
    </xf>
    <xf numFmtId="1" fontId="10" fillId="5" borderId="10" xfId="0" applyNumberFormat="1" applyFont="1" applyFill="1" applyBorder="1" applyAlignment="1">
      <alignment vertical="center" wrapText="1"/>
    </xf>
    <xf numFmtId="1" fontId="8" fillId="0" borderId="10" xfId="0" applyNumberFormat="1" applyFont="1" applyFill="1" applyBorder="1" applyAlignment="1">
      <alignment vertical="center" wrapText="1"/>
    </xf>
    <xf numFmtId="1" fontId="10" fillId="11" borderId="10" xfId="0" applyNumberFormat="1" applyFont="1" applyFill="1" applyBorder="1" applyAlignment="1">
      <alignment vertical="center" wrapText="1"/>
    </xf>
    <xf numFmtId="0" fontId="8" fillId="0" borderId="10" xfId="0" applyFont="1" applyBorder="1" applyAlignment="1">
      <alignment vertical="center" wrapText="1"/>
    </xf>
    <xf numFmtId="0" fontId="8" fillId="0" borderId="31" xfId="0" applyFont="1" applyBorder="1" applyAlignment="1">
      <alignment vertical="center" wrapText="1"/>
    </xf>
    <xf numFmtId="168" fontId="10" fillId="5" borderId="10" xfId="46" applyNumberFormat="1" applyFont="1" applyFill="1" applyBorder="1" applyAlignment="1">
      <alignment vertical="center" wrapText="1"/>
    </xf>
    <xf numFmtId="0" fontId="8" fillId="0" borderId="32" xfId="0" applyFont="1" applyBorder="1" applyAlignment="1">
      <alignment/>
    </xf>
    <xf numFmtId="0" fontId="8" fillId="0" borderId="32" xfId="0" applyFont="1" applyFill="1" applyBorder="1" applyAlignment="1">
      <alignment/>
    </xf>
    <xf numFmtId="0" fontId="8" fillId="37" borderId="20" xfId="0" applyFont="1" applyFill="1" applyBorder="1" applyAlignment="1">
      <alignment/>
    </xf>
    <xf numFmtId="0" fontId="3" fillId="0" borderId="10" xfId="0" applyFont="1" applyBorder="1" applyAlignment="1">
      <alignment/>
    </xf>
    <xf numFmtId="3" fontId="49" fillId="0" borderId="10" xfId="0" applyNumberFormat="1" applyFont="1" applyBorder="1" applyAlignment="1">
      <alignment/>
    </xf>
    <xf numFmtId="0" fontId="2" fillId="0" borderId="32" xfId="0" applyFont="1" applyFill="1" applyBorder="1" applyAlignment="1">
      <alignment/>
    </xf>
    <xf numFmtId="17" fontId="0" fillId="0" borderId="0" xfId="0" applyNumberFormat="1" applyAlignment="1">
      <alignment/>
    </xf>
    <xf numFmtId="3" fontId="11" fillId="0" borderId="0" xfId="0" applyNumberFormat="1" applyFont="1" applyAlignment="1">
      <alignment/>
    </xf>
    <xf numFmtId="0" fontId="17" fillId="33" borderId="33" xfId="66" applyFont="1" applyFill="1" applyBorder="1">
      <alignment/>
      <protection/>
    </xf>
    <xf numFmtId="0" fontId="17" fillId="39" borderId="34" xfId="66" applyFont="1" applyFill="1" applyBorder="1">
      <alignment/>
      <protection/>
    </xf>
    <xf numFmtId="0" fontId="11" fillId="35" borderId="35" xfId="0" applyFont="1" applyFill="1" applyBorder="1" applyAlignment="1">
      <alignment wrapText="1"/>
    </xf>
    <xf numFmtId="0" fontId="11" fillId="35" borderId="36" xfId="0" applyFont="1" applyFill="1" applyBorder="1" applyAlignment="1">
      <alignment wrapText="1"/>
    </xf>
    <xf numFmtId="0" fontId="11" fillId="35" borderId="17" xfId="0" applyFont="1" applyFill="1" applyBorder="1" applyAlignment="1">
      <alignment wrapText="1"/>
    </xf>
    <xf numFmtId="0" fontId="18" fillId="39" borderId="19" xfId="66" applyFont="1" applyFill="1" applyBorder="1">
      <alignment/>
      <protection/>
    </xf>
    <xf numFmtId="0" fontId="13" fillId="39" borderId="13" xfId="0" applyFont="1" applyFill="1" applyBorder="1" applyAlignment="1">
      <alignment/>
    </xf>
    <xf numFmtId="0" fontId="11" fillId="36" borderId="37" xfId="0" applyFont="1" applyFill="1" applyBorder="1" applyAlignment="1">
      <alignment wrapText="1"/>
    </xf>
    <xf numFmtId="0" fontId="11" fillId="35" borderId="38" xfId="0" applyFont="1" applyFill="1" applyBorder="1" applyAlignment="1">
      <alignment horizontal="center" wrapText="1"/>
    </xf>
    <xf numFmtId="0" fontId="43" fillId="8" borderId="0" xfId="0" applyFont="1" applyFill="1" applyAlignment="1">
      <alignment/>
    </xf>
    <xf numFmtId="0" fontId="11" fillId="35" borderId="36" xfId="0" applyFont="1" applyFill="1" applyBorder="1" applyAlignment="1">
      <alignment horizontal="left"/>
    </xf>
    <xf numFmtId="0" fontId="11" fillId="0" borderId="35" xfId="0" applyFont="1" applyBorder="1" applyAlignment="1">
      <alignment wrapText="1"/>
    </xf>
    <xf numFmtId="0" fontId="11" fillId="0" borderId="36" xfId="0" applyFont="1" applyBorder="1" applyAlignment="1">
      <alignment wrapText="1"/>
    </xf>
    <xf numFmtId="0" fontId="11" fillId="0" borderId="38" xfId="0" applyFont="1" applyBorder="1" applyAlignment="1">
      <alignment horizontal="center" wrapText="1"/>
    </xf>
    <xf numFmtId="0" fontId="83" fillId="19" borderId="13" xfId="0" applyFont="1" applyFill="1" applyBorder="1" applyAlignment="1">
      <alignment wrapText="1"/>
    </xf>
    <xf numFmtId="168" fontId="18" fillId="19" borderId="11" xfId="46" applyNumberFormat="1" applyFont="1" applyFill="1" applyBorder="1" applyAlignment="1">
      <alignment/>
    </xf>
    <xf numFmtId="168" fontId="84" fillId="34" borderId="14" xfId="46" applyNumberFormat="1" applyFont="1" applyFill="1" applyBorder="1" applyAlignment="1">
      <alignment/>
    </xf>
    <xf numFmtId="0" fontId="8" fillId="0" borderId="0" xfId="0" applyFont="1" applyAlignment="1">
      <alignment/>
    </xf>
    <xf numFmtId="0" fontId="74" fillId="0" borderId="39" xfId="0" applyFont="1" applyBorder="1" applyAlignment="1">
      <alignment/>
    </xf>
    <xf numFmtId="0" fontId="85" fillId="0" borderId="14" xfId="0" applyFont="1" applyBorder="1" applyAlignment="1">
      <alignment/>
    </xf>
    <xf numFmtId="3" fontId="85" fillId="0" borderId="14" xfId="0" applyNumberFormat="1" applyFont="1" applyBorder="1" applyAlignment="1">
      <alignment/>
    </xf>
    <xf numFmtId="0" fontId="19" fillId="14" borderId="30" xfId="0" applyFont="1" applyFill="1" applyBorder="1" applyAlignment="1">
      <alignment horizontal="left" wrapText="1"/>
    </xf>
    <xf numFmtId="0" fontId="14" fillId="35" borderId="30" xfId="0" applyFont="1" applyFill="1" applyBorder="1" applyAlignment="1">
      <alignment horizontal="left" vertical="top" wrapText="1"/>
    </xf>
    <xf numFmtId="0" fontId="19" fillId="42" borderId="30" xfId="0" applyFont="1" applyFill="1" applyBorder="1" applyAlignment="1">
      <alignment horizontal="left"/>
    </xf>
    <xf numFmtId="0" fontId="86" fillId="14" borderId="30" xfId="0" applyFont="1" applyFill="1" applyBorder="1" applyAlignment="1">
      <alignment horizontal="left"/>
    </xf>
    <xf numFmtId="0" fontId="19" fillId="14" borderId="30" xfId="0" applyFont="1" applyFill="1" applyBorder="1" applyAlignment="1">
      <alignment horizontal="left"/>
    </xf>
    <xf numFmtId="0" fontId="19" fillId="14" borderId="30" xfId="0" applyFont="1" applyFill="1" applyBorder="1" applyAlignment="1">
      <alignment horizontal="left" vertical="top" wrapText="1"/>
    </xf>
    <xf numFmtId="0" fontId="20" fillId="35" borderId="40" xfId="0" applyFont="1" applyFill="1" applyBorder="1" applyAlignment="1">
      <alignment horizontal="left" vertical="top" wrapText="1"/>
    </xf>
    <xf numFmtId="0" fontId="19" fillId="43" borderId="14" xfId="0" applyFont="1" applyFill="1" applyBorder="1" applyAlignment="1">
      <alignment horizontal="left"/>
    </xf>
    <xf numFmtId="0" fontId="8" fillId="0" borderId="41" xfId="0" applyFont="1" applyFill="1" applyBorder="1" applyAlignment="1">
      <alignment/>
    </xf>
    <xf numFmtId="0" fontId="86" fillId="43" borderId="14" xfId="0" applyFont="1" applyFill="1" applyBorder="1" applyAlignment="1">
      <alignment horizontal="left"/>
    </xf>
    <xf numFmtId="0" fontId="86" fillId="44" borderId="42" xfId="0" applyFont="1" applyFill="1" applyBorder="1" applyAlignment="1">
      <alignment horizontal="left"/>
    </xf>
    <xf numFmtId="168" fontId="21" fillId="45" borderId="30" xfId="57" applyNumberFormat="1" applyFont="1" applyFill="1" applyBorder="1" applyAlignment="1">
      <alignment vertical="center"/>
    </xf>
    <xf numFmtId="168" fontId="21" fillId="45" borderId="30" xfId="46" applyNumberFormat="1" applyFont="1" applyFill="1" applyBorder="1" applyAlignment="1">
      <alignment/>
    </xf>
    <xf numFmtId="168" fontId="19" fillId="42" borderId="30" xfId="0" applyNumberFormat="1" applyFont="1" applyFill="1" applyBorder="1" applyAlignment="1">
      <alignment/>
    </xf>
    <xf numFmtId="0" fontId="19" fillId="14" borderId="30" xfId="0" applyFont="1" applyFill="1" applyBorder="1" applyAlignment="1">
      <alignment wrapText="1"/>
    </xf>
    <xf numFmtId="168" fontId="21" fillId="45" borderId="30" xfId="46" applyNumberFormat="1" applyFont="1" applyFill="1" applyBorder="1" applyAlignment="1">
      <alignment wrapText="1"/>
    </xf>
    <xf numFmtId="168" fontId="14" fillId="45" borderId="30" xfId="46" applyNumberFormat="1" applyFont="1" applyFill="1" applyBorder="1" applyAlignment="1">
      <alignment/>
    </xf>
    <xf numFmtId="168" fontId="14" fillId="45" borderId="30" xfId="46" applyNumberFormat="1" applyFont="1" applyFill="1" applyBorder="1" applyAlignment="1">
      <alignment horizontal="right" vertical="center"/>
    </xf>
    <xf numFmtId="168" fontId="8" fillId="0" borderId="21" xfId="46" applyNumberFormat="1" applyFont="1" applyFill="1" applyBorder="1" applyAlignment="1">
      <alignment/>
    </xf>
    <xf numFmtId="168" fontId="19" fillId="46" borderId="14" xfId="46" applyNumberFormat="1" applyFont="1" applyFill="1" applyBorder="1" applyAlignment="1">
      <alignment horizontal="right"/>
    </xf>
    <xf numFmtId="43" fontId="8" fillId="0" borderId="41" xfId="46" applyFont="1" applyFill="1" applyBorder="1" applyAlignment="1">
      <alignment/>
    </xf>
    <xf numFmtId="168" fontId="8" fillId="0" borderId="30" xfId="46" applyNumberFormat="1" applyFont="1" applyFill="1" applyBorder="1" applyAlignment="1">
      <alignment/>
    </xf>
    <xf numFmtId="43" fontId="8" fillId="0" borderId="30" xfId="46" applyFont="1" applyFill="1" applyBorder="1" applyAlignment="1">
      <alignment/>
    </xf>
    <xf numFmtId="168" fontId="8" fillId="0" borderId="43" xfId="46" applyNumberFormat="1" applyFont="1" applyFill="1" applyBorder="1" applyAlignment="1">
      <alignment/>
    </xf>
    <xf numFmtId="168" fontId="19" fillId="46" borderId="44" xfId="46" applyNumberFormat="1" applyFont="1" applyFill="1" applyBorder="1" applyAlignment="1">
      <alignment horizontal="right"/>
    </xf>
    <xf numFmtId="168" fontId="19" fillId="44" borderId="14" xfId="57" applyNumberFormat="1" applyFont="1" applyFill="1" applyBorder="1" applyAlignment="1">
      <alignment/>
    </xf>
    <xf numFmtId="3" fontId="75" fillId="40" borderId="45" xfId="0" applyNumberFormat="1" applyFont="1" applyFill="1" applyBorder="1" applyAlignment="1">
      <alignment wrapText="1"/>
    </xf>
    <xf numFmtId="0" fontId="2" fillId="0" borderId="10" xfId="0" applyFont="1" applyBorder="1" applyAlignment="1">
      <alignment horizontal="left" wrapText="1"/>
    </xf>
    <xf numFmtId="3" fontId="8" fillId="37" borderId="45" xfId="0" applyNumberFormat="1" applyFont="1" applyFill="1" applyBorder="1" applyAlignment="1">
      <alignment/>
    </xf>
    <xf numFmtId="3" fontId="76" fillId="0" borderId="46" xfId="0" applyNumberFormat="1" applyFont="1" applyBorder="1" applyAlignment="1">
      <alignment/>
    </xf>
    <xf numFmtId="3" fontId="76" fillId="0" borderId="21" xfId="0" applyNumberFormat="1" applyFont="1" applyBorder="1" applyAlignment="1">
      <alignment/>
    </xf>
    <xf numFmtId="3" fontId="76" fillId="0" borderId="32" xfId="0" applyNumberFormat="1" applyFont="1" applyBorder="1" applyAlignment="1">
      <alignment/>
    </xf>
    <xf numFmtId="168" fontId="8" fillId="0" borderId="30" xfId="46" applyNumberFormat="1" applyFont="1" applyBorder="1" applyAlignment="1">
      <alignment/>
    </xf>
    <xf numFmtId="3" fontId="8" fillId="38" borderId="10" xfId="0" applyNumberFormat="1" applyFont="1" applyFill="1" applyBorder="1" applyAlignment="1">
      <alignment/>
    </xf>
    <xf numFmtId="0" fontId="14" fillId="0" borderId="10" xfId="0" applyFont="1" applyBorder="1" applyAlignment="1">
      <alignment/>
    </xf>
    <xf numFmtId="0" fontId="14" fillId="37" borderId="10" xfId="0" applyFont="1" applyFill="1" applyBorder="1" applyAlignment="1">
      <alignment/>
    </xf>
    <xf numFmtId="3" fontId="75" fillId="40" borderId="10" xfId="0" applyNumberFormat="1" applyFont="1" applyFill="1" applyBorder="1" applyAlignment="1">
      <alignment wrapText="1"/>
    </xf>
    <xf numFmtId="3" fontId="75" fillId="41" borderId="10" xfId="0" applyNumberFormat="1" applyFont="1" applyFill="1" applyBorder="1" applyAlignment="1">
      <alignment wrapText="1"/>
    </xf>
    <xf numFmtId="3" fontId="10" fillId="0" borderId="10" xfId="0" applyNumberFormat="1" applyFont="1" applyBorder="1" applyAlignment="1">
      <alignment horizontal="center"/>
    </xf>
    <xf numFmtId="3" fontId="75" fillId="0" borderId="10" xfId="0" applyNumberFormat="1" applyFont="1" applyBorder="1" applyAlignment="1">
      <alignment/>
    </xf>
    <xf numFmtId="3" fontId="75" fillId="0" borderId="10" xfId="0" applyNumberFormat="1" applyFont="1" applyBorder="1" applyAlignment="1">
      <alignment horizontal="center"/>
    </xf>
    <xf numFmtId="3" fontId="87" fillId="0" borderId="10" xfId="0" applyNumberFormat="1" applyFont="1" applyBorder="1" applyAlignment="1">
      <alignment/>
    </xf>
    <xf numFmtId="3" fontId="10" fillId="0" borderId="10" xfId="0" applyNumberFormat="1" applyFont="1" applyBorder="1" applyAlignment="1">
      <alignment horizontal="center" wrapText="1"/>
    </xf>
    <xf numFmtId="3" fontId="55" fillId="0" borderId="10" xfId="0" applyNumberFormat="1" applyFont="1" applyBorder="1" applyAlignment="1">
      <alignment horizontal="center" wrapText="1"/>
    </xf>
    <xf numFmtId="3" fontId="0" fillId="0" borderId="0" xfId="0" applyNumberFormat="1" applyFill="1" applyBorder="1" applyAlignment="1">
      <alignment/>
    </xf>
    <xf numFmtId="3" fontId="0" fillId="0" borderId="10" xfId="0" applyNumberFormat="1" applyFont="1" applyFill="1" applyBorder="1" applyAlignment="1">
      <alignment/>
    </xf>
    <xf numFmtId="3" fontId="8" fillId="35" borderId="10" xfId="0" applyNumberFormat="1" applyFont="1" applyFill="1" applyBorder="1" applyAlignment="1">
      <alignment/>
    </xf>
    <xf numFmtId="168" fontId="8" fillId="35" borderId="30" xfId="46" applyNumberFormat="1" applyFont="1" applyFill="1" applyBorder="1" applyAlignment="1">
      <alignment/>
    </xf>
    <xf numFmtId="3" fontId="8" fillId="35" borderId="10" xfId="0" applyNumberFormat="1" applyFont="1" applyFill="1" applyBorder="1" applyAlignment="1">
      <alignment/>
    </xf>
    <xf numFmtId="3" fontId="76" fillId="35" borderId="32" xfId="0" applyNumberFormat="1" applyFont="1" applyFill="1" applyBorder="1" applyAlignment="1">
      <alignment/>
    </xf>
    <xf numFmtId="3" fontId="0" fillId="35" borderId="0" xfId="0" applyNumberFormat="1" applyFill="1" applyAlignment="1">
      <alignment/>
    </xf>
    <xf numFmtId="3" fontId="76" fillId="35" borderId="47" xfId="0" applyNumberFormat="1" applyFont="1" applyFill="1" applyBorder="1" applyAlignment="1">
      <alignment/>
    </xf>
    <xf numFmtId="0" fontId="71" fillId="0" borderId="22" xfId="0" applyFont="1" applyBorder="1" applyAlignment="1">
      <alignment horizontal="center"/>
    </xf>
    <xf numFmtId="0" fontId="71" fillId="0" borderId="23"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cellXfs>
  <cellStyles count="7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Entrée" xfId="44"/>
    <cellStyle name="Insatisfaisant" xfId="45"/>
    <cellStyle name="Comma" xfId="46"/>
    <cellStyle name="Comma [0]" xfId="47"/>
    <cellStyle name="Milliers 10" xfId="48"/>
    <cellStyle name="Milliers 11" xfId="49"/>
    <cellStyle name="Milliers 12" xfId="50"/>
    <cellStyle name="Milliers 13" xfId="51"/>
    <cellStyle name="Milliers 14" xfId="52"/>
    <cellStyle name="Milliers 15" xfId="53"/>
    <cellStyle name="Milliers 16" xfId="54"/>
    <cellStyle name="Milliers 2" xfId="55"/>
    <cellStyle name="Milliers 3" xfId="56"/>
    <cellStyle name="Milliers 4" xfId="57"/>
    <cellStyle name="Milliers 5" xfId="58"/>
    <cellStyle name="Milliers 6" xfId="59"/>
    <cellStyle name="Milliers 7" xfId="60"/>
    <cellStyle name="Milliers 8" xfId="61"/>
    <cellStyle name="Milliers 9" xfId="62"/>
    <cellStyle name="Currency" xfId="63"/>
    <cellStyle name="Currency [0]" xfId="64"/>
    <cellStyle name="Neutre" xfId="65"/>
    <cellStyle name="Normal 2" xfId="66"/>
    <cellStyle name="Normal 3" xfId="67"/>
    <cellStyle name="Normal 3 11 6 3" xfId="68"/>
    <cellStyle name="Normal 3 11 6 6" xfId="69"/>
    <cellStyle name="Normal 3 12" xfId="70"/>
    <cellStyle name="Normal 4 6" xfId="71"/>
    <cellStyle name="Normal 5" xfId="72"/>
    <cellStyle name="Normal 6" xfId="73"/>
    <cellStyle name="Normal 7" xfId="74"/>
    <cellStyle name="Percent" xfId="75"/>
    <cellStyle name="Satisfaisant" xfId="76"/>
    <cellStyle name="Sortie" xfId="77"/>
    <cellStyle name="Texte explicatif" xfId="78"/>
    <cellStyle name="Titre" xfId="79"/>
    <cellStyle name="Titre 1" xfId="80"/>
    <cellStyle name="Titre 2" xfId="81"/>
    <cellStyle name="Titre 3" xfId="82"/>
    <cellStyle name="Titre 4" xfId="83"/>
    <cellStyle name="Total" xfId="84"/>
    <cellStyle name="Vérification"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08"/>
  <sheetViews>
    <sheetView tabSelected="1" zoomScale="110" zoomScaleNormal="110" zoomScalePageLayoutView="0" workbookViewId="0" topLeftCell="A463">
      <selection activeCell="A501" sqref="A501"/>
    </sheetView>
  </sheetViews>
  <sheetFormatPr defaultColWidth="11.421875" defaultRowHeight="15"/>
  <cols>
    <col min="1" max="1" width="47.28125" style="0" customWidth="1"/>
    <col min="2" max="2" width="16.28125" style="0" customWidth="1"/>
    <col min="3" max="3" width="11.421875" style="0" customWidth="1"/>
    <col min="4" max="4" width="17.00390625" style="0" customWidth="1"/>
    <col min="5" max="5" width="18.7109375" style="0" customWidth="1"/>
    <col min="6" max="6" width="17.8515625" style="0" customWidth="1"/>
    <col min="7" max="7" width="17.28125" style="0" customWidth="1"/>
    <col min="8" max="8" width="11.421875" style="0" customWidth="1"/>
  </cols>
  <sheetData>
    <row r="1" spans="1:2" ht="15">
      <c r="A1" s="23" t="s">
        <v>0</v>
      </c>
      <c r="B1" s="24"/>
    </row>
    <row r="2" spans="1:2" ht="15">
      <c r="A2" s="26" t="s">
        <v>228</v>
      </c>
      <c r="B2" s="24"/>
    </row>
    <row r="3" spans="1:2" ht="15">
      <c r="A3" s="24"/>
      <c r="B3" s="24"/>
    </row>
    <row r="4" spans="1:3" ht="15">
      <c r="A4" s="77" t="s">
        <v>1</v>
      </c>
      <c r="B4" s="77" t="s">
        <v>2</v>
      </c>
      <c r="C4" s="9"/>
    </row>
    <row r="5" spans="1:3" ht="15">
      <c r="A5" s="28" t="s">
        <v>137</v>
      </c>
      <c r="B5" s="25">
        <v>137250</v>
      </c>
      <c r="C5" s="9"/>
    </row>
    <row r="6" spans="1:3" ht="15">
      <c r="A6" s="28" t="s">
        <v>138</v>
      </c>
      <c r="B6" s="25">
        <v>41250</v>
      </c>
      <c r="C6" s="9"/>
    </row>
    <row r="7" spans="1:3" ht="15" customHeight="1">
      <c r="A7" s="28" t="s">
        <v>139</v>
      </c>
      <c r="B7" s="25">
        <v>56250</v>
      </c>
      <c r="C7" s="9"/>
    </row>
    <row r="8" spans="1:3" ht="15">
      <c r="A8" s="28" t="s">
        <v>140</v>
      </c>
      <c r="B8" s="25">
        <v>11250</v>
      </c>
      <c r="C8" s="21"/>
    </row>
    <row r="9" spans="1:3" ht="15" customHeight="1">
      <c r="A9" s="28" t="s">
        <v>226</v>
      </c>
      <c r="B9" s="25">
        <v>17886000</v>
      </c>
      <c r="C9" s="21"/>
    </row>
    <row r="10" spans="1:3" s="9" customFormat="1" ht="15" customHeight="1">
      <c r="A10" s="28" t="s">
        <v>141</v>
      </c>
      <c r="B10" s="25">
        <v>137340</v>
      </c>
      <c r="C10" s="21"/>
    </row>
    <row r="11" spans="1:3" s="9" customFormat="1" ht="15" customHeight="1">
      <c r="A11" s="28" t="s">
        <v>142</v>
      </c>
      <c r="B11" s="25">
        <v>364500</v>
      </c>
      <c r="C11" s="21"/>
    </row>
    <row r="12" spans="1:3" s="9" customFormat="1" ht="15" customHeight="1">
      <c r="A12" s="28" t="s">
        <v>143</v>
      </c>
      <c r="B12" s="25">
        <v>1205200</v>
      </c>
      <c r="C12" s="21"/>
    </row>
    <row r="13" spans="1:3" s="9" customFormat="1" ht="15">
      <c r="A13" s="28" t="s">
        <v>144</v>
      </c>
      <c r="B13" s="25">
        <v>925200</v>
      </c>
      <c r="C13" s="21"/>
    </row>
    <row r="14" spans="1:3" s="9" customFormat="1" ht="15">
      <c r="A14" s="28" t="s">
        <v>145</v>
      </c>
      <c r="B14" s="25">
        <v>143250</v>
      </c>
      <c r="C14" s="21"/>
    </row>
    <row r="15" spans="1:3" s="9" customFormat="1" ht="15" customHeight="1">
      <c r="A15" s="28" t="s">
        <v>146</v>
      </c>
      <c r="B15" s="25">
        <v>221250</v>
      </c>
      <c r="C15" s="21"/>
    </row>
    <row r="16" spans="1:3" s="9" customFormat="1" ht="15" customHeight="1">
      <c r="A16" s="28" t="s">
        <v>147</v>
      </c>
      <c r="B16" s="25">
        <v>761700</v>
      </c>
      <c r="C16" s="21"/>
    </row>
    <row r="17" spans="1:3" s="9" customFormat="1" ht="15">
      <c r="A17" s="28" t="s">
        <v>148</v>
      </c>
      <c r="B17" s="25">
        <v>98250</v>
      </c>
      <c r="C17" s="21"/>
    </row>
    <row r="18" spans="1:3" s="9" customFormat="1" ht="15">
      <c r="A18" s="28" t="s">
        <v>149</v>
      </c>
      <c r="B18" s="25">
        <v>150000</v>
      </c>
      <c r="C18" s="21"/>
    </row>
    <row r="19" spans="1:3" s="9" customFormat="1" ht="15">
      <c r="A19" s="28" t="s">
        <v>150</v>
      </c>
      <c r="B19" s="25">
        <v>229500</v>
      </c>
      <c r="C19" s="21"/>
    </row>
    <row r="20" spans="1:3" s="9" customFormat="1" ht="15">
      <c r="A20" s="28" t="s">
        <v>151</v>
      </c>
      <c r="B20" s="25">
        <v>146250</v>
      </c>
      <c r="C20" s="21"/>
    </row>
    <row r="21" spans="1:3" s="9" customFormat="1" ht="15" customHeight="1">
      <c r="A21" s="28" t="s">
        <v>152</v>
      </c>
      <c r="B21" s="25">
        <v>41250</v>
      </c>
      <c r="C21" s="21"/>
    </row>
    <row r="22" spans="1:3" s="9" customFormat="1" ht="15" customHeight="1">
      <c r="A22" s="28" t="s">
        <v>153</v>
      </c>
      <c r="B22" s="25">
        <v>41250</v>
      </c>
      <c r="C22" s="21"/>
    </row>
    <row r="23" spans="1:3" s="9" customFormat="1" ht="15">
      <c r="A23" s="28" t="s">
        <v>154</v>
      </c>
      <c r="B23" s="25">
        <v>41250</v>
      </c>
      <c r="C23" s="21"/>
    </row>
    <row r="24" spans="1:3" s="9" customFormat="1" ht="15" customHeight="1">
      <c r="A24" s="28" t="s">
        <v>155</v>
      </c>
      <c r="B24" s="25">
        <v>586450</v>
      </c>
      <c r="C24" s="21"/>
    </row>
    <row r="25" spans="1:3" s="9" customFormat="1" ht="15">
      <c r="A25" s="28" t="s">
        <v>156</v>
      </c>
      <c r="B25" s="25">
        <v>171450</v>
      </c>
      <c r="C25" s="21"/>
    </row>
    <row r="26" spans="1:3" s="9" customFormat="1" ht="15" customHeight="1">
      <c r="A26" s="28" t="s">
        <v>157</v>
      </c>
      <c r="B26" s="25">
        <v>1696000</v>
      </c>
      <c r="C26" s="21"/>
    </row>
    <row r="27" spans="1:3" s="9" customFormat="1" ht="15" customHeight="1">
      <c r="A27" s="28" t="s">
        <v>227</v>
      </c>
      <c r="B27" s="25">
        <v>2420000</v>
      </c>
      <c r="C27" s="21"/>
    </row>
    <row r="28" spans="1:3" ht="15">
      <c r="A28" s="79" t="s">
        <v>3</v>
      </c>
      <c r="B28" s="27">
        <f>SUM(B5:B27)</f>
        <v>27512090</v>
      </c>
      <c r="C28" s="21"/>
    </row>
    <row r="29" spans="1:2" ht="15">
      <c r="A29" s="63"/>
      <c r="B29" s="63"/>
    </row>
    <row r="30" spans="1:2" s="9" customFormat="1" ht="15">
      <c r="A30" s="26" t="s">
        <v>224</v>
      </c>
      <c r="B30" s="26"/>
    </row>
    <row r="31" spans="1:2" s="9" customFormat="1" ht="15">
      <c r="A31" s="26"/>
      <c r="B31" s="26"/>
    </row>
    <row r="32" spans="1:2" s="9" customFormat="1" ht="15">
      <c r="A32" s="77" t="s">
        <v>1</v>
      </c>
      <c r="B32" s="77" t="s">
        <v>2</v>
      </c>
    </row>
    <row r="33" spans="1:2" s="9" customFormat="1" ht="39">
      <c r="A33" s="78" t="s">
        <v>212</v>
      </c>
      <c r="B33" s="25">
        <v>906500</v>
      </c>
    </row>
    <row r="34" spans="1:2" s="9" customFormat="1" ht="39">
      <c r="A34" s="78" t="s">
        <v>213</v>
      </c>
      <c r="B34" s="25">
        <f>600400+2905300</f>
        <v>3505700</v>
      </c>
    </row>
    <row r="35" spans="1:2" s="9" customFormat="1" ht="26.25">
      <c r="A35" s="78" t="s">
        <v>214</v>
      </c>
      <c r="B35" s="25">
        <v>891000</v>
      </c>
    </row>
    <row r="36" spans="1:2" s="9" customFormat="1" ht="51.75">
      <c r="A36" s="78" t="s">
        <v>215</v>
      </c>
      <c r="B36" s="25">
        <v>1149750</v>
      </c>
    </row>
    <row r="37" spans="1:2" s="9" customFormat="1" ht="26.25">
      <c r="A37" s="78" t="s">
        <v>216</v>
      </c>
      <c r="B37" s="25">
        <v>600000</v>
      </c>
    </row>
    <row r="38" spans="1:2" s="9" customFormat="1" ht="51.75">
      <c r="A38" s="78" t="s">
        <v>217</v>
      </c>
      <c r="B38" s="25">
        <f>2581500+4357950</f>
        <v>6939450</v>
      </c>
    </row>
    <row r="39" spans="1:2" s="9" customFormat="1" ht="26.25">
      <c r="A39" s="78" t="s">
        <v>218</v>
      </c>
      <c r="B39" s="25">
        <v>750000</v>
      </c>
    </row>
    <row r="40" spans="1:2" s="9" customFormat="1" ht="39">
      <c r="A40" s="78" t="s">
        <v>219</v>
      </c>
      <c r="B40" s="25">
        <v>464000</v>
      </c>
    </row>
    <row r="41" spans="1:2" s="9" customFormat="1" ht="39">
      <c r="A41" s="78" t="s">
        <v>220</v>
      </c>
      <c r="B41" s="25">
        <v>4000000</v>
      </c>
    </row>
    <row r="42" spans="1:2" s="9" customFormat="1" ht="26.25">
      <c r="A42" s="78" t="s">
        <v>221</v>
      </c>
      <c r="B42" s="25">
        <f>2473500+2905300</f>
        <v>5378800</v>
      </c>
    </row>
    <row r="43" spans="1:4" s="9" customFormat="1" ht="39">
      <c r="A43" s="78" t="s">
        <v>225</v>
      </c>
      <c r="B43" s="25">
        <v>44073000</v>
      </c>
      <c r="D43" s="8"/>
    </row>
    <row r="44" spans="1:2" s="9" customFormat="1" ht="51.75">
      <c r="A44" s="78" t="s">
        <v>222</v>
      </c>
      <c r="B44" s="25">
        <f>1815000+7263250</f>
        <v>9078250</v>
      </c>
    </row>
    <row r="45" spans="1:2" s="9" customFormat="1" ht="15">
      <c r="A45" s="28" t="s">
        <v>223</v>
      </c>
      <c r="B45" s="25">
        <v>1200000</v>
      </c>
    </row>
    <row r="46" spans="1:2" s="9" customFormat="1" ht="15">
      <c r="A46" s="28" t="s">
        <v>6</v>
      </c>
      <c r="B46" s="25">
        <v>1711100</v>
      </c>
    </row>
    <row r="47" spans="1:2" s="9" customFormat="1" ht="15">
      <c r="A47" s="28" t="s">
        <v>7</v>
      </c>
      <c r="B47" s="25">
        <v>1000000</v>
      </c>
    </row>
    <row r="48" spans="1:2" s="9" customFormat="1" ht="15">
      <c r="A48" s="28" t="s">
        <v>8</v>
      </c>
      <c r="B48" s="25">
        <v>1612650</v>
      </c>
    </row>
    <row r="49" spans="1:2" s="9" customFormat="1" ht="15">
      <c r="A49" s="79" t="s">
        <v>3</v>
      </c>
      <c r="B49" s="27">
        <f>SUM(B33:B48)</f>
        <v>83260200</v>
      </c>
    </row>
    <row r="50" spans="1:2" s="9" customFormat="1" ht="15">
      <c r="A50" s="63"/>
      <c r="B50" s="63"/>
    </row>
    <row r="51" spans="1:2" ht="15">
      <c r="A51" s="26" t="s">
        <v>211</v>
      </c>
      <c r="B51" s="63"/>
    </row>
    <row r="52" spans="1:2" ht="15">
      <c r="A52" s="63"/>
      <c r="B52" s="63"/>
    </row>
    <row r="53" spans="1:2" ht="15">
      <c r="A53" s="77" t="s">
        <v>1</v>
      </c>
      <c r="B53" s="77" t="s">
        <v>2</v>
      </c>
    </row>
    <row r="54" spans="1:5" ht="56.25" customHeight="1">
      <c r="A54" s="76" t="s">
        <v>191</v>
      </c>
      <c r="B54" s="25">
        <v>1897500</v>
      </c>
      <c r="C54" s="74"/>
      <c r="D54" s="75"/>
      <c r="E54" s="75"/>
    </row>
    <row r="55" spans="1:5" ht="77.25">
      <c r="A55" s="76" t="s">
        <v>192</v>
      </c>
      <c r="B55" s="25">
        <v>891000</v>
      </c>
      <c r="C55" s="74"/>
      <c r="D55" s="75"/>
      <c r="E55" s="75"/>
    </row>
    <row r="56" spans="1:5" ht="39">
      <c r="A56" s="76" t="s">
        <v>193</v>
      </c>
      <c r="B56" s="25">
        <v>1650000</v>
      </c>
      <c r="C56" s="74"/>
      <c r="D56" s="75"/>
      <c r="E56" s="75"/>
    </row>
    <row r="57" spans="1:5" s="9" customFormat="1" ht="51.75">
      <c r="A57" s="76" t="s">
        <v>194</v>
      </c>
      <c r="B57" s="25">
        <v>19759000</v>
      </c>
      <c r="C57" s="74"/>
      <c r="D57" s="75"/>
      <c r="E57" s="75"/>
    </row>
    <row r="58" spans="1:5" ht="42" customHeight="1">
      <c r="A58" s="76" t="s">
        <v>195</v>
      </c>
      <c r="B58" s="25">
        <v>7200000</v>
      </c>
      <c r="C58" s="74"/>
      <c r="D58" s="75"/>
      <c r="E58" s="75"/>
    </row>
    <row r="59" spans="1:5" ht="26.25">
      <c r="A59" s="76" t="s">
        <v>196</v>
      </c>
      <c r="B59" s="25">
        <v>3520000</v>
      </c>
      <c r="C59" s="74"/>
      <c r="D59" s="75"/>
      <c r="E59" s="75"/>
    </row>
    <row r="60" spans="1:5" ht="64.5">
      <c r="A60" s="76" t="s">
        <v>197</v>
      </c>
      <c r="B60" s="25">
        <v>1760000</v>
      </c>
      <c r="C60" s="74"/>
      <c r="D60" s="75"/>
      <c r="E60" s="75"/>
    </row>
    <row r="61" spans="1:5" ht="26.25">
      <c r="A61" s="76" t="s">
        <v>198</v>
      </c>
      <c r="B61" s="25">
        <v>3520000</v>
      </c>
      <c r="C61" s="74"/>
      <c r="D61" s="75"/>
      <c r="E61" s="75"/>
    </row>
    <row r="62" spans="1:5" ht="26.25">
      <c r="A62" s="76" t="s">
        <v>199</v>
      </c>
      <c r="B62" s="25">
        <v>9900000</v>
      </c>
      <c r="C62" s="74"/>
      <c r="D62" s="75"/>
      <c r="E62" s="75"/>
    </row>
    <row r="63" spans="1:5" s="9" customFormat="1" ht="26.25">
      <c r="A63" s="76" t="s">
        <v>200</v>
      </c>
      <c r="B63" s="25">
        <v>5038000</v>
      </c>
      <c r="C63" s="74"/>
      <c r="D63" s="75"/>
      <c r="E63" s="75"/>
    </row>
    <row r="64" spans="1:5" s="9" customFormat="1" ht="37.5" customHeight="1">
      <c r="A64" s="76" t="s">
        <v>201</v>
      </c>
      <c r="B64" s="25">
        <v>1561300</v>
      </c>
      <c r="C64" s="74"/>
      <c r="D64" s="75"/>
      <c r="E64" s="75"/>
    </row>
    <row r="65" spans="1:5" s="9" customFormat="1" ht="43.5" customHeight="1">
      <c r="A65" s="76" t="s">
        <v>202</v>
      </c>
      <c r="B65" s="25">
        <f>200000+3680000</f>
        <v>3880000</v>
      </c>
      <c r="C65" s="74"/>
      <c r="D65" s="75"/>
      <c r="E65" s="75"/>
    </row>
    <row r="66" spans="1:5" s="9" customFormat="1" ht="54.75" customHeight="1">
      <c r="A66" s="76" t="s">
        <v>203</v>
      </c>
      <c r="B66" s="25">
        <v>3608000</v>
      </c>
      <c r="C66" s="74"/>
      <c r="D66" s="75"/>
      <c r="E66" s="75"/>
    </row>
    <row r="67" spans="1:5" s="9" customFormat="1" ht="39">
      <c r="A67" s="76" t="s">
        <v>204</v>
      </c>
      <c r="B67" s="25">
        <v>2750000</v>
      </c>
      <c r="C67" s="74"/>
      <c r="D67" s="75"/>
      <c r="E67" s="75"/>
    </row>
    <row r="68" spans="1:5" s="9" customFormat="1" ht="54.75" customHeight="1">
      <c r="A68" s="76" t="s">
        <v>205</v>
      </c>
      <c r="B68" s="25">
        <v>481000</v>
      </c>
      <c r="C68" s="74"/>
      <c r="D68" s="75"/>
      <c r="E68" s="75"/>
    </row>
    <row r="69" spans="1:5" s="9" customFormat="1" ht="39">
      <c r="A69" s="76" t="s">
        <v>206</v>
      </c>
      <c r="B69" s="25">
        <v>1000000</v>
      </c>
      <c r="C69" s="74"/>
      <c r="D69" s="75"/>
      <c r="E69" s="75"/>
    </row>
    <row r="70" spans="1:5" s="9" customFormat="1" ht="48" customHeight="1">
      <c r="A70" s="76" t="s">
        <v>207</v>
      </c>
      <c r="B70" s="25">
        <f>1034000+3680000</f>
        <v>4714000</v>
      </c>
      <c r="C70" s="74"/>
      <c r="D70" s="75"/>
      <c r="E70" s="75"/>
    </row>
    <row r="71" spans="1:5" s="9" customFormat="1" ht="39">
      <c r="A71" s="76" t="s">
        <v>208</v>
      </c>
      <c r="B71" s="25">
        <v>2000000</v>
      </c>
      <c r="C71" s="74"/>
      <c r="D71" s="75"/>
      <c r="E71" s="75"/>
    </row>
    <row r="72" spans="1:5" s="9" customFormat="1" ht="15">
      <c r="A72" s="76" t="s">
        <v>209</v>
      </c>
      <c r="B72" s="25">
        <v>850000</v>
      </c>
      <c r="C72" s="74"/>
      <c r="D72" s="75"/>
      <c r="E72" s="75"/>
    </row>
    <row r="73" spans="1:5" s="9" customFormat="1" ht="15">
      <c r="A73" s="76" t="s">
        <v>210</v>
      </c>
      <c r="B73" s="25">
        <v>2059000</v>
      </c>
      <c r="C73" s="74"/>
      <c r="D73" s="75"/>
      <c r="E73" s="75"/>
    </row>
    <row r="74" spans="1:3" ht="15">
      <c r="A74" s="76" t="s">
        <v>5</v>
      </c>
      <c r="B74" s="25">
        <v>8685360</v>
      </c>
      <c r="C74" s="9"/>
    </row>
    <row r="75" spans="1:3" ht="15">
      <c r="A75" s="76" t="s">
        <v>6</v>
      </c>
      <c r="B75" s="25">
        <v>596995</v>
      </c>
      <c r="C75" s="9"/>
    </row>
    <row r="76" spans="1:3" ht="15">
      <c r="A76" s="76" t="s">
        <v>7</v>
      </c>
      <c r="B76" s="25">
        <v>0</v>
      </c>
      <c r="C76" s="9"/>
    </row>
    <row r="77" spans="1:3" ht="15">
      <c r="A77" s="76" t="s">
        <v>8</v>
      </c>
      <c r="B77" s="25">
        <v>2320802</v>
      </c>
      <c r="C77" s="9"/>
    </row>
    <row r="78" spans="1:4" ht="15">
      <c r="A78" s="79" t="s">
        <v>3</v>
      </c>
      <c r="B78" s="27">
        <f>SUM(B54:B77)</f>
        <v>89641957</v>
      </c>
      <c r="D78" s="8"/>
    </row>
    <row r="79" spans="1:2" ht="15">
      <c r="A79" s="63"/>
      <c r="B79" s="63"/>
    </row>
    <row r="80" spans="1:2" ht="63.75" customHeight="1">
      <c r="A80" s="32" t="s">
        <v>450</v>
      </c>
      <c r="B80" s="63"/>
    </row>
    <row r="81" spans="1:2" ht="15">
      <c r="A81" s="63"/>
      <c r="B81" s="63"/>
    </row>
    <row r="82" spans="1:3" ht="15">
      <c r="A82" s="77" t="s">
        <v>1</v>
      </c>
      <c r="B82" s="77" t="s">
        <v>2</v>
      </c>
      <c r="C82" s="9"/>
    </row>
    <row r="83" spans="1:3" ht="15">
      <c r="A83" s="28" t="s">
        <v>9</v>
      </c>
      <c r="B83" s="25">
        <v>3977311</v>
      </c>
      <c r="C83" s="9"/>
    </row>
    <row r="84" spans="1:3" ht="15">
      <c r="A84" s="79" t="s">
        <v>3</v>
      </c>
      <c r="B84" s="27">
        <f>SUM(B83:B83)</f>
        <v>3977311</v>
      </c>
      <c r="C84" s="9"/>
    </row>
    <row r="85" spans="1:2" ht="15">
      <c r="A85" s="63"/>
      <c r="B85" s="63"/>
    </row>
    <row r="86" spans="1:2" s="9" customFormat="1" ht="15">
      <c r="A86" s="63"/>
      <c r="B86" s="63"/>
    </row>
    <row r="87" spans="1:2" s="9" customFormat="1" ht="15">
      <c r="A87" s="63"/>
      <c r="B87" s="63"/>
    </row>
    <row r="88" spans="1:2" s="9" customFormat="1" ht="15">
      <c r="A88" s="63"/>
      <c r="B88" s="63"/>
    </row>
    <row r="89" spans="1:2" s="9" customFormat="1" ht="15">
      <c r="A89" s="148" t="s">
        <v>434</v>
      </c>
      <c r="B89" s="63"/>
    </row>
    <row r="90" spans="1:2" s="9" customFormat="1" ht="15">
      <c r="A90" s="63"/>
      <c r="B90" s="63"/>
    </row>
    <row r="91" spans="1:2" s="9" customFormat="1" ht="15">
      <c r="A91" s="77" t="s">
        <v>1</v>
      </c>
      <c r="B91" s="77" t="s">
        <v>2</v>
      </c>
    </row>
    <row r="92" spans="1:2" s="9" customFormat="1" ht="15">
      <c r="A92" s="28" t="s">
        <v>123</v>
      </c>
      <c r="B92" s="25">
        <v>23986469</v>
      </c>
    </row>
    <row r="93" spans="1:2" s="9" customFormat="1" ht="15">
      <c r="A93" s="28" t="s">
        <v>124</v>
      </c>
      <c r="B93" s="25">
        <v>14880000</v>
      </c>
    </row>
    <row r="94" spans="1:2" s="9" customFormat="1" ht="15">
      <c r="A94" s="28" t="s">
        <v>125</v>
      </c>
      <c r="B94" s="25">
        <v>4467937</v>
      </c>
    </row>
    <row r="95" spans="1:3" s="9" customFormat="1" ht="15">
      <c r="A95" s="28" t="s">
        <v>128</v>
      </c>
      <c r="B95" s="25">
        <v>0</v>
      </c>
      <c r="C95" s="21"/>
    </row>
    <row r="96" spans="1:3" s="9" customFormat="1" ht="15">
      <c r="A96" s="28" t="s">
        <v>129</v>
      </c>
      <c r="B96" s="25">
        <v>0</v>
      </c>
      <c r="C96" s="21"/>
    </row>
    <row r="97" spans="1:3" s="9" customFormat="1" ht="15">
      <c r="A97" s="28" t="s">
        <v>126</v>
      </c>
      <c r="B97" s="25">
        <v>5580887</v>
      </c>
      <c r="C97" s="21"/>
    </row>
    <row r="98" spans="1:3" s="9" customFormat="1" ht="15">
      <c r="A98" s="28" t="s">
        <v>127</v>
      </c>
      <c r="B98" s="25">
        <v>23366265</v>
      </c>
      <c r="C98" s="21"/>
    </row>
    <row r="99" spans="1:2" s="9" customFormat="1" ht="15">
      <c r="A99" s="79" t="s">
        <v>11</v>
      </c>
      <c r="B99" s="27">
        <f>SUM(B92:B98)</f>
        <v>72281558</v>
      </c>
    </row>
    <row r="100" spans="1:2" s="9" customFormat="1" ht="15">
      <c r="A100" s="63"/>
      <c r="B100" s="63"/>
    </row>
    <row r="101" spans="1:2" s="9" customFormat="1" ht="15">
      <c r="A101" s="148" t="s">
        <v>449</v>
      </c>
      <c r="B101" s="63"/>
    </row>
    <row r="102" spans="1:2" s="9" customFormat="1" ht="15">
      <c r="A102" s="63"/>
      <c r="B102" s="63"/>
    </row>
    <row r="103" spans="1:2" s="9" customFormat="1" ht="15">
      <c r="A103" s="77" t="s">
        <v>1</v>
      </c>
      <c r="B103" s="77" t="s">
        <v>2</v>
      </c>
    </row>
    <row r="104" spans="1:2" s="9" customFormat="1" ht="15">
      <c r="A104" s="28" t="s">
        <v>123</v>
      </c>
      <c r="B104" s="25">
        <v>37833006</v>
      </c>
    </row>
    <row r="105" spans="1:2" s="9" customFormat="1" ht="15">
      <c r="A105" s="28" t="s">
        <v>124</v>
      </c>
      <c r="B105" s="25">
        <v>11123796</v>
      </c>
    </row>
    <row r="106" spans="1:2" s="9" customFormat="1" ht="15">
      <c r="A106" s="28" t="s">
        <v>125</v>
      </c>
      <c r="B106" s="25">
        <v>5910926</v>
      </c>
    </row>
    <row r="107" spans="1:2" s="9" customFormat="1" ht="15">
      <c r="A107" s="28" t="s">
        <v>130</v>
      </c>
      <c r="B107" s="25">
        <v>3135705</v>
      </c>
    </row>
    <row r="108" spans="1:2" s="9" customFormat="1" ht="15">
      <c r="A108" s="28" t="s">
        <v>4</v>
      </c>
      <c r="B108" s="25">
        <v>7655825</v>
      </c>
    </row>
    <row r="109" spans="1:2" s="9" customFormat="1" ht="15">
      <c r="A109" s="28" t="s">
        <v>131</v>
      </c>
      <c r="B109" s="25">
        <v>412500</v>
      </c>
    </row>
    <row r="110" spans="1:5" s="9" customFormat="1" ht="15">
      <c r="A110" s="28" t="s">
        <v>127</v>
      </c>
      <c r="B110" s="25">
        <v>25919650</v>
      </c>
      <c r="E110" s="8"/>
    </row>
    <row r="111" spans="1:2" s="9" customFormat="1" ht="15">
      <c r="A111" s="79" t="s">
        <v>11</v>
      </c>
      <c r="B111" s="27">
        <f>SUM(B104:B110)</f>
        <v>91991408</v>
      </c>
    </row>
    <row r="112" spans="1:2" s="9" customFormat="1" ht="15">
      <c r="A112" s="63"/>
      <c r="B112" s="63"/>
    </row>
    <row r="113" spans="1:2" ht="15">
      <c r="A113" s="26" t="s">
        <v>345</v>
      </c>
      <c r="B113" s="26"/>
    </row>
    <row r="114" spans="1:2" ht="15">
      <c r="A114" s="26"/>
      <c r="B114" s="26"/>
    </row>
    <row r="115" spans="1:2" ht="15">
      <c r="A115" s="77" t="s">
        <v>1</v>
      </c>
      <c r="B115" s="77" t="s">
        <v>2</v>
      </c>
    </row>
    <row r="116" spans="1:2" ht="15">
      <c r="A116" s="28" t="s">
        <v>5</v>
      </c>
      <c r="B116" s="25">
        <v>3300000</v>
      </c>
    </row>
    <row r="117" spans="1:2" s="9" customFormat="1" ht="15">
      <c r="A117" s="28" t="s">
        <v>6</v>
      </c>
      <c r="B117" s="25">
        <v>1140000</v>
      </c>
    </row>
    <row r="118" spans="1:3" ht="15">
      <c r="A118" s="28" t="s">
        <v>346</v>
      </c>
      <c r="B118" s="25">
        <v>310800</v>
      </c>
      <c r="C118" s="9"/>
    </row>
    <row r="119" spans="1:4" ht="15">
      <c r="A119" s="79" t="s">
        <v>11</v>
      </c>
      <c r="B119" s="27">
        <f>SUM(B116:B118)</f>
        <v>4750800</v>
      </c>
      <c r="D119" s="8"/>
    </row>
    <row r="120" spans="1:2" ht="15">
      <c r="A120" s="63"/>
      <c r="B120" s="63"/>
    </row>
    <row r="121" spans="1:2" ht="15">
      <c r="A121" s="148" t="s">
        <v>440</v>
      </c>
      <c r="B121" s="63"/>
    </row>
    <row r="122" spans="1:2" ht="15">
      <c r="A122" s="26"/>
      <c r="B122" s="63"/>
    </row>
    <row r="123" spans="1:2" ht="15">
      <c r="A123" s="77" t="s">
        <v>1</v>
      </c>
      <c r="B123" s="77" t="s">
        <v>2</v>
      </c>
    </row>
    <row r="124" spans="1:3" ht="15">
      <c r="A124" s="117" t="s">
        <v>316</v>
      </c>
      <c r="B124" s="122">
        <f>SUM(B125:B132)</f>
        <v>22822930.486666664</v>
      </c>
      <c r="C124" s="9"/>
    </row>
    <row r="125" spans="1:3" ht="15">
      <c r="A125" s="118" t="s">
        <v>308</v>
      </c>
      <c r="B125" s="25">
        <v>5746183.32</v>
      </c>
      <c r="C125" s="9"/>
    </row>
    <row r="126" spans="1:3" ht="15">
      <c r="A126" s="118" t="s">
        <v>309</v>
      </c>
      <c r="B126" s="25">
        <v>9918069.84</v>
      </c>
      <c r="C126" s="9"/>
    </row>
    <row r="127" spans="1:3" ht="15">
      <c r="A127" s="118" t="s">
        <v>310</v>
      </c>
      <c r="B127" s="25">
        <v>2361445.1999999997</v>
      </c>
      <c r="C127" s="9"/>
    </row>
    <row r="128" spans="1:3" ht="15">
      <c r="A128" s="118" t="s">
        <v>311</v>
      </c>
      <c r="B128" s="25">
        <v>1967871</v>
      </c>
      <c r="C128" s="9"/>
    </row>
    <row r="129" spans="1:3" ht="15">
      <c r="A129" s="118" t="s">
        <v>312</v>
      </c>
      <c r="B129" s="25">
        <v>905220.66</v>
      </c>
      <c r="C129" s="9"/>
    </row>
    <row r="130" spans="1:2" s="9" customFormat="1" ht="15">
      <c r="A130" s="118" t="s">
        <v>313</v>
      </c>
      <c r="B130" s="25">
        <v>787148.3333333334</v>
      </c>
    </row>
    <row r="131" spans="1:2" s="9" customFormat="1" ht="15">
      <c r="A131" s="118" t="s">
        <v>314</v>
      </c>
      <c r="B131" s="25">
        <v>787148.4</v>
      </c>
    </row>
    <row r="132" spans="1:2" s="9" customFormat="1" ht="15">
      <c r="A132" s="118" t="s">
        <v>315</v>
      </c>
      <c r="B132" s="25">
        <v>349843.73333333334</v>
      </c>
    </row>
    <row r="133" spans="1:2" s="9" customFormat="1" ht="15">
      <c r="A133" s="117" t="s">
        <v>317</v>
      </c>
      <c r="B133" s="122">
        <f>B134</f>
        <v>218652.33333333334</v>
      </c>
    </row>
    <row r="134" spans="1:2" s="9" customFormat="1" ht="15">
      <c r="A134" s="118" t="s">
        <v>318</v>
      </c>
      <c r="B134" s="25">
        <v>218652.33333333334</v>
      </c>
    </row>
    <row r="135" spans="1:2" s="9" customFormat="1" ht="15">
      <c r="A135" s="117" t="s">
        <v>319</v>
      </c>
      <c r="B135" s="122">
        <f>SUM(B136:B140)</f>
        <v>11020077.6</v>
      </c>
    </row>
    <row r="136" spans="1:2" s="9" customFormat="1" ht="15">
      <c r="A136" s="118" t="s">
        <v>320</v>
      </c>
      <c r="B136" s="25">
        <v>3935742</v>
      </c>
    </row>
    <row r="137" spans="1:2" s="9" customFormat="1" ht="15">
      <c r="A137" s="118" t="s">
        <v>321</v>
      </c>
      <c r="B137" s="25">
        <v>2361445.1999999997</v>
      </c>
    </row>
    <row r="138" spans="1:2" s="9" customFormat="1" ht="15">
      <c r="A138" s="118" t="s">
        <v>322</v>
      </c>
      <c r="B138" s="25">
        <v>2361445.1999999997</v>
      </c>
    </row>
    <row r="139" spans="1:2" s="9" customFormat="1" ht="25.5">
      <c r="A139" s="118" t="s">
        <v>323</v>
      </c>
      <c r="B139" s="25">
        <v>1574296.8</v>
      </c>
    </row>
    <row r="140" spans="1:2" s="9" customFormat="1" ht="15">
      <c r="A140" s="118" t="s">
        <v>324</v>
      </c>
      <c r="B140" s="25">
        <v>787148.4</v>
      </c>
    </row>
    <row r="141" spans="1:2" s="9" customFormat="1" ht="25.5">
      <c r="A141" s="119" t="s">
        <v>325</v>
      </c>
      <c r="B141" s="62"/>
    </row>
    <row r="142" spans="1:2" s="9" customFormat="1" ht="21.75" customHeight="1">
      <c r="A142" s="118" t="s">
        <v>326</v>
      </c>
      <c r="B142" s="25">
        <v>327979</v>
      </c>
    </row>
    <row r="143" spans="1:2" s="9" customFormat="1" ht="31.5" customHeight="1">
      <c r="A143" s="120" t="s">
        <v>327</v>
      </c>
      <c r="B143" s="25">
        <v>3279785</v>
      </c>
    </row>
    <row r="144" spans="1:2" s="9" customFormat="1" ht="38.25">
      <c r="A144" s="120" t="s">
        <v>328</v>
      </c>
      <c r="B144" s="25">
        <v>4951699</v>
      </c>
    </row>
    <row r="145" spans="1:2" s="9" customFormat="1" ht="38.25">
      <c r="A145" s="120" t="s">
        <v>329</v>
      </c>
      <c r="B145" s="25">
        <v>1967871</v>
      </c>
    </row>
    <row r="146" spans="1:2" s="9" customFormat="1" ht="26.25" thickBot="1">
      <c r="A146" s="121" t="s">
        <v>330</v>
      </c>
      <c r="B146" s="25">
        <v>2492637</v>
      </c>
    </row>
    <row r="147" spans="1:2" ht="15">
      <c r="A147" s="79" t="s">
        <v>3</v>
      </c>
      <c r="B147" s="45">
        <f>SUM(B124:B146)</f>
        <v>81143291.84000002</v>
      </c>
    </row>
    <row r="148" spans="1:2" ht="15">
      <c r="A148" s="63"/>
      <c r="B148" s="63"/>
    </row>
    <row r="149" spans="1:2" ht="15">
      <c r="A149" s="26" t="s">
        <v>347</v>
      </c>
      <c r="B149" s="63"/>
    </row>
    <row r="150" spans="1:2" ht="15">
      <c r="A150" s="63"/>
      <c r="B150" s="63"/>
    </row>
    <row r="151" spans="1:3" ht="15.75" thickBot="1">
      <c r="A151" s="77" t="s">
        <v>1</v>
      </c>
      <c r="B151" s="77" t="s">
        <v>2</v>
      </c>
      <c r="C151" s="9"/>
    </row>
    <row r="152" spans="1:2" ht="15.75">
      <c r="A152" s="131" t="s">
        <v>83</v>
      </c>
      <c r="B152" s="64"/>
    </row>
    <row r="153" spans="1:5" ht="16.5" thickBot="1">
      <c r="A153" s="132" t="s">
        <v>84</v>
      </c>
      <c r="B153" s="25">
        <v>0</v>
      </c>
      <c r="C153" s="9"/>
      <c r="D153" s="9"/>
      <c r="E153" s="9"/>
    </row>
    <row r="154" spans="1:5" ht="15">
      <c r="A154" s="133" t="s">
        <v>85</v>
      </c>
      <c r="B154" s="16">
        <v>2295850</v>
      </c>
      <c r="C154" s="9"/>
      <c r="D154" s="9"/>
      <c r="E154" s="9"/>
    </row>
    <row r="155" spans="1:5" ht="15">
      <c r="A155" s="134" t="s">
        <v>86</v>
      </c>
      <c r="B155" s="17">
        <v>7300145</v>
      </c>
      <c r="C155" s="9"/>
      <c r="D155" s="9"/>
      <c r="E155" s="9"/>
    </row>
    <row r="156" spans="1:5" ht="15">
      <c r="A156" s="135" t="s">
        <v>87</v>
      </c>
      <c r="B156" s="18">
        <v>3546758</v>
      </c>
      <c r="C156" s="9"/>
      <c r="D156" s="9"/>
      <c r="E156" s="9"/>
    </row>
    <row r="157" spans="1:5" ht="15.75" thickBot="1">
      <c r="A157" s="136" t="s">
        <v>12</v>
      </c>
      <c r="B157" s="29">
        <f>SUM(B154:B156)-1</f>
        <v>13142752</v>
      </c>
      <c r="C157" s="9"/>
      <c r="D157" s="9"/>
      <c r="E157" s="9"/>
    </row>
    <row r="158" spans="1:5" ht="16.5" thickBot="1">
      <c r="A158" s="137" t="s">
        <v>88</v>
      </c>
      <c r="B158" s="66"/>
      <c r="C158" s="9"/>
      <c r="D158" s="9"/>
      <c r="E158" s="9"/>
    </row>
    <row r="159" spans="1:5" ht="15">
      <c r="A159" s="133" t="s">
        <v>89</v>
      </c>
      <c r="B159" s="30">
        <v>9477267</v>
      </c>
      <c r="C159" s="9"/>
      <c r="D159" s="9"/>
      <c r="E159" s="9"/>
    </row>
    <row r="160" spans="1:5" ht="15">
      <c r="A160" s="134" t="s">
        <v>90</v>
      </c>
      <c r="B160" s="17">
        <v>1851767</v>
      </c>
      <c r="C160" s="9"/>
      <c r="D160" s="9"/>
      <c r="E160" s="9"/>
    </row>
    <row r="161" spans="1:5" ht="15">
      <c r="A161" s="134" t="s">
        <v>91</v>
      </c>
      <c r="B161" s="17"/>
      <c r="C161" s="9"/>
      <c r="D161" s="9"/>
      <c r="E161" s="9"/>
    </row>
    <row r="162" spans="1:5" ht="15">
      <c r="A162" s="138" t="s">
        <v>92</v>
      </c>
      <c r="B162" s="67"/>
      <c r="C162" s="9"/>
      <c r="D162" s="9"/>
      <c r="E162" s="9"/>
    </row>
    <row r="163" spans="1:2" s="9" customFormat="1" ht="15.75" thickBot="1">
      <c r="A163" s="139"/>
      <c r="B163" s="68"/>
    </row>
    <row r="164" spans="1:2" s="9" customFormat="1" ht="15.75" thickBot="1">
      <c r="A164" s="140" t="s">
        <v>13</v>
      </c>
      <c r="B164" s="29">
        <f>SUM(B159:B163)</f>
        <v>11329034</v>
      </c>
    </row>
    <row r="165" spans="1:2" s="9" customFormat="1" ht="15.75" thickBot="1">
      <c r="A165" s="10" t="s">
        <v>93</v>
      </c>
      <c r="B165" s="31">
        <f>B164+B157</f>
        <v>24471786</v>
      </c>
    </row>
    <row r="166" spans="1:2" s="9" customFormat="1" ht="15.75" thickBot="1">
      <c r="A166" s="11" t="s">
        <v>94</v>
      </c>
      <c r="B166" s="69"/>
    </row>
    <row r="167" spans="1:2" s="9" customFormat="1" ht="15">
      <c r="A167" s="133" t="s">
        <v>95</v>
      </c>
      <c r="B167" s="16">
        <v>1311914</v>
      </c>
    </row>
    <row r="168" spans="1:2" s="9" customFormat="1" ht="15">
      <c r="A168" s="134" t="s">
        <v>96</v>
      </c>
      <c r="B168" s="17">
        <v>0</v>
      </c>
    </row>
    <row r="169" spans="1:2" s="9" customFormat="1" ht="15">
      <c r="A169" s="134" t="s">
        <v>97</v>
      </c>
      <c r="B169" s="17">
        <v>305020</v>
      </c>
    </row>
    <row r="170" spans="1:2" s="9" customFormat="1" ht="15">
      <c r="A170" s="134" t="s">
        <v>98</v>
      </c>
      <c r="B170" s="17">
        <v>0</v>
      </c>
    </row>
    <row r="171" spans="1:2" s="9" customFormat="1" ht="15">
      <c r="A171" s="134" t="s">
        <v>99</v>
      </c>
      <c r="B171" s="17">
        <v>1024605</v>
      </c>
    </row>
    <row r="172" spans="1:2" s="9" customFormat="1" ht="15">
      <c r="A172" s="134" t="s">
        <v>100</v>
      </c>
      <c r="B172" s="17">
        <v>928179</v>
      </c>
    </row>
    <row r="173" spans="1:2" s="9" customFormat="1" ht="15">
      <c r="A173" s="141" t="s">
        <v>101</v>
      </c>
      <c r="B173" s="17">
        <v>540509</v>
      </c>
    </row>
    <row r="174" spans="1:2" s="9" customFormat="1" ht="15">
      <c r="A174" s="134" t="s">
        <v>102</v>
      </c>
      <c r="B174" s="17">
        <v>224993</v>
      </c>
    </row>
    <row r="175" spans="1:2" s="9" customFormat="1" ht="15">
      <c r="A175" s="134" t="s">
        <v>103</v>
      </c>
      <c r="B175" s="17">
        <v>0</v>
      </c>
    </row>
    <row r="176" spans="1:2" s="9" customFormat="1" ht="15">
      <c r="A176" s="134" t="s">
        <v>104</v>
      </c>
      <c r="B176" s="17">
        <v>200067</v>
      </c>
    </row>
    <row r="177" spans="1:2" s="9" customFormat="1" ht="15">
      <c r="A177" s="134" t="s">
        <v>105</v>
      </c>
      <c r="B177" s="17">
        <v>1340120</v>
      </c>
    </row>
    <row r="178" spans="1:2" s="9" customFormat="1" ht="30">
      <c r="A178" s="134" t="s">
        <v>348</v>
      </c>
      <c r="B178" s="17">
        <v>0</v>
      </c>
    </row>
    <row r="179" spans="1:2" s="9" customFormat="1" ht="15">
      <c r="A179" s="134" t="s">
        <v>106</v>
      </c>
      <c r="B179" s="17">
        <v>1020013</v>
      </c>
    </row>
    <row r="180" spans="1:2" s="9" customFormat="1" ht="15">
      <c r="A180" s="134" t="s">
        <v>107</v>
      </c>
      <c r="B180" s="17">
        <v>270254</v>
      </c>
    </row>
    <row r="181" spans="1:2" s="9" customFormat="1" ht="15">
      <c r="A181" s="134" t="s">
        <v>108</v>
      </c>
      <c r="B181" s="17">
        <v>539853</v>
      </c>
    </row>
    <row r="182" spans="1:2" s="9" customFormat="1" ht="15">
      <c r="A182" s="134" t="s">
        <v>109</v>
      </c>
      <c r="B182" s="17">
        <v>120040</v>
      </c>
    </row>
    <row r="183" spans="1:2" s="9" customFormat="1" ht="15">
      <c r="A183" s="134" t="s">
        <v>110</v>
      </c>
      <c r="B183" s="17">
        <v>898661</v>
      </c>
    </row>
    <row r="184" spans="1:2" s="9" customFormat="1" ht="15.75" thickBot="1">
      <c r="A184" s="139"/>
      <c r="B184" s="17">
        <v>0</v>
      </c>
    </row>
    <row r="185" spans="1:2" s="9" customFormat="1" ht="15.75" thickBot="1">
      <c r="A185" s="12" t="s">
        <v>111</v>
      </c>
      <c r="B185" s="146">
        <f>SUM(B167:B183)</f>
        <v>8724228</v>
      </c>
    </row>
    <row r="186" spans="1:2" s="9" customFormat="1" ht="15.75" thickBot="1">
      <c r="A186" s="13" t="s">
        <v>112</v>
      </c>
      <c r="B186" s="65"/>
    </row>
    <row r="187" spans="1:2" s="9" customFormat="1" ht="15.75" thickBot="1">
      <c r="A187" s="14" t="s">
        <v>113</v>
      </c>
      <c r="B187" s="70"/>
    </row>
    <row r="188" spans="1:5" ht="15">
      <c r="A188" s="142" t="s">
        <v>114</v>
      </c>
      <c r="B188" s="19">
        <v>1574297</v>
      </c>
      <c r="C188" s="9"/>
      <c r="D188" s="9"/>
      <c r="E188" s="9"/>
    </row>
    <row r="189" spans="1:5" ht="15">
      <c r="A189" s="143" t="s">
        <v>115</v>
      </c>
      <c r="B189" s="19">
        <v>1574297</v>
      </c>
      <c r="C189" s="9"/>
      <c r="D189" s="9"/>
      <c r="E189" s="9"/>
    </row>
    <row r="190" spans="1:5" ht="15">
      <c r="A190" s="143" t="s">
        <v>116</v>
      </c>
      <c r="B190" s="19">
        <v>4009209</v>
      </c>
      <c r="C190" s="9"/>
      <c r="D190" s="9"/>
      <c r="E190" s="9"/>
    </row>
    <row r="191" spans="1:5" ht="15">
      <c r="A191" s="143" t="s">
        <v>117</v>
      </c>
      <c r="B191" s="19">
        <v>3599892</v>
      </c>
      <c r="C191" s="9"/>
      <c r="D191" s="9"/>
      <c r="E191" s="9"/>
    </row>
    <row r="192" spans="1:7" ht="15.75" thickBot="1">
      <c r="A192" s="144"/>
      <c r="B192" s="19">
        <v>0</v>
      </c>
      <c r="C192" s="9"/>
      <c r="D192" s="9"/>
      <c r="E192" s="9"/>
      <c r="G192" s="20"/>
    </row>
    <row r="193" spans="1:5" ht="16.5" thickBot="1">
      <c r="A193" s="145" t="s">
        <v>118</v>
      </c>
      <c r="B193" s="146">
        <f>SUM(B188:B191)</f>
        <v>10757695</v>
      </c>
      <c r="C193" s="9"/>
      <c r="D193" s="9"/>
      <c r="E193" s="9"/>
    </row>
    <row r="194" spans="1:5" ht="15.75" thickBot="1">
      <c r="A194" s="9"/>
      <c r="B194" s="70"/>
      <c r="C194" s="9"/>
      <c r="D194" s="9"/>
      <c r="E194" s="9"/>
    </row>
    <row r="195" spans="1:7" ht="16.5" thickBot="1">
      <c r="A195" s="15" t="s">
        <v>119</v>
      </c>
      <c r="B195" s="147">
        <f>B193+B185+B165</f>
        <v>43953709</v>
      </c>
      <c r="C195" s="9"/>
      <c r="D195" s="9"/>
      <c r="E195" s="9"/>
      <c r="G195" s="20"/>
    </row>
    <row r="196" spans="1:7" ht="15">
      <c r="A196" s="63"/>
      <c r="B196" s="63"/>
      <c r="C196" s="9"/>
      <c r="D196" s="9"/>
      <c r="E196" s="9"/>
      <c r="G196" s="20"/>
    </row>
    <row r="197" spans="1:2" s="9" customFormat="1" ht="64.5">
      <c r="A197" s="32" t="s">
        <v>350</v>
      </c>
      <c r="B197" s="63"/>
    </row>
    <row r="198" spans="1:2" s="9" customFormat="1" ht="15">
      <c r="A198" s="63"/>
      <c r="B198" s="63"/>
    </row>
    <row r="199" spans="1:2" s="9" customFormat="1" ht="15">
      <c r="A199" s="77" t="s">
        <v>1</v>
      </c>
      <c r="B199" s="77" t="s">
        <v>2</v>
      </c>
    </row>
    <row r="200" spans="1:2" s="9" customFormat="1" ht="15">
      <c r="A200" s="22" t="s">
        <v>179</v>
      </c>
      <c r="B200" s="25">
        <v>0</v>
      </c>
    </row>
    <row r="201" spans="1:2" s="9" customFormat="1" ht="15">
      <c r="A201" s="22" t="s">
        <v>180</v>
      </c>
      <c r="B201" s="25">
        <v>0</v>
      </c>
    </row>
    <row r="202" spans="1:2" s="9" customFormat="1" ht="15">
      <c r="A202" s="22" t="s">
        <v>180</v>
      </c>
      <c r="B202" s="25">
        <v>0</v>
      </c>
    </row>
    <row r="203" spans="1:2" s="9" customFormat="1" ht="15">
      <c r="A203" s="22" t="s">
        <v>351</v>
      </c>
      <c r="B203" s="25">
        <v>311050</v>
      </c>
    </row>
    <row r="204" spans="1:2" s="9" customFormat="1" ht="15">
      <c r="A204" s="22" t="s">
        <v>181</v>
      </c>
      <c r="B204" s="25">
        <v>0</v>
      </c>
    </row>
    <row r="205" spans="1:8" s="9" customFormat="1" ht="15">
      <c r="A205" s="22" t="s">
        <v>181</v>
      </c>
      <c r="B205" s="25">
        <v>0</v>
      </c>
      <c r="E205" s="55"/>
      <c r="F205" s="55"/>
      <c r="G205" s="55"/>
      <c r="H205" s="55"/>
    </row>
    <row r="206" spans="1:8" s="9" customFormat="1" ht="15">
      <c r="A206" s="22" t="s">
        <v>182</v>
      </c>
      <c r="B206" s="25">
        <v>175000</v>
      </c>
      <c r="E206" s="55"/>
      <c r="F206" s="55"/>
      <c r="G206" s="55"/>
      <c r="H206" s="55"/>
    </row>
    <row r="207" spans="1:8" s="9" customFormat="1" ht="15">
      <c r="A207" s="22" t="s">
        <v>183</v>
      </c>
      <c r="B207" s="25">
        <v>2150000</v>
      </c>
      <c r="E207" s="55"/>
      <c r="F207" s="55"/>
      <c r="G207" s="55"/>
      <c r="H207" s="55"/>
    </row>
    <row r="208" spans="1:8" s="9" customFormat="1" ht="15">
      <c r="A208" s="22" t="s">
        <v>184</v>
      </c>
      <c r="B208" s="25">
        <v>8430500</v>
      </c>
      <c r="E208" s="55"/>
      <c r="F208" s="55"/>
      <c r="G208" s="55"/>
      <c r="H208" s="55"/>
    </row>
    <row r="209" spans="1:8" s="9" customFormat="1" ht="15">
      <c r="A209" s="22" t="s">
        <v>185</v>
      </c>
      <c r="B209" s="25">
        <v>6604250</v>
      </c>
      <c r="D209" s="8"/>
      <c r="E209" s="55"/>
      <c r="F209" s="55"/>
      <c r="G209" s="55"/>
      <c r="H209" s="55"/>
    </row>
    <row r="210" spans="1:8" s="9" customFormat="1" ht="15">
      <c r="A210" s="22" t="s">
        <v>186</v>
      </c>
      <c r="B210" s="25">
        <v>1575000</v>
      </c>
      <c r="D210" s="8"/>
      <c r="E210" s="55"/>
      <c r="F210" s="55"/>
      <c r="G210" s="55"/>
      <c r="H210" s="55"/>
    </row>
    <row r="211" spans="1:8" s="9" customFormat="1" ht="15">
      <c r="A211" s="22" t="s">
        <v>186</v>
      </c>
      <c r="B211" s="25">
        <v>1575000</v>
      </c>
      <c r="D211" s="8"/>
      <c r="E211" s="55"/>
      <c r="F211" s="55"/>
      <c r="G211" s="55"/>
      <c r="H211" s="55"/>
    </row>
    <row r="212" spans="1:8" s="9" customFormat="1" ht="15">
      <c r="A212" s="22" t="s">
        <v>187</v>
      </c>
      <c r="B212" s="25">
        <v>450000</v>
      </c>
      <c r="D212" s="8"/>
      <c r="E212" s="55"/>
      <c r="F212" s="55"/>
      <c r="G212" s="55"/>
      <c r="H212" s="55"/>
    </row>
    <row r="213" spans="1:8" s="9" customFormat="1" ht="15">
      <c r="A213" s="22" t="s">
        <v>187</v>
      </c>
      <c r="B213" s="25">
        <v>450000</v>
      </c>
      <c r="D213" s="8"/>
      <c r="E213" s="55"/>
      <c r="F213" s="55"/>
      <c r="G213" s="55"/>
      <c r="H213" s="55"/>
    </row>
    <row r="214" spans="1:8" s="9" customFormat="1" ht="15">
      <c r="A214" s="22" t="s">
        <v>188</v>
      </c>
      <c r="B214" s="25">
        <v>225000</v>
      </c>
      <c r="D214" s="8"/>
      <c r="E214" s="55"/>
      <c r="F214" s="55"/>
      <c r="G214" s="55"/>
      <c r="H214" s="55"/>
    </row>
    <row r="215" spans="1:8" s="9" customFormat="1" ht="15.75" thickBot="1">
      <c r="A215" s="149" t="s">
        <v>189</v>
      </c>
      <c r="B215" s="25">
        <v>750000</v>
      </c>
      <c r="D215" s="8"/>
      <c r="E215" s="55"/>
      <c r="F215" s="55"/>
      <c r="G215" s="55"/>
      <c r="H215" s="55"/>
    </row>
    <row r="216" spans="1:4" s="9" customFormat="1" ht="15.75" thickBot="1">
      <c r="A216" s="150" t="s">
        <v>11</v>
      </c>
      <c r="B216" s="151">
        <f>SUM(B200:B215)</f>
        <v>22695800</v>
      </c>
      <c r="D216" s="8"/>
    </row>
    <row r="217" s="9" customFormat="1" ht="15"/>
    <row r="218" spans="1:2" s="9" customFormat="1" ht="15">
      <c r="A218" s="71"/>
      <c r="B218" s="63"/>
    </row>
    <row r="219" spans="1:2" s="9" customFormat="1" ht="15">
      <c r="A219" s="71"/>
      <c r="B219" s="63"/>
    </row>
    <row r="220" spans="1:2" s="9" customFormat="1" ht="15">
      <c r="A220" s="32" t="s">
        <v>344</v>
      </c>
      <c r="B220" s="26"/>
    </row>
    <row r="221" spans="1:2" s="9" customFormat="1" ht="15">
      <c r="A221" s="26"/>
      <c r="B221" s="26"/>
    </row>
    <row r="222" spans="1:2" s="9" customFormat="1" ht="15">
      <c r="A222" s="77" t="s">
        <v>1</v>
      </c>
      <c r="B222" s="77" t="s">
        <v>2</v>
      </c>
    </row>
    <row r="223" spans="1:2" s="9" customFormat="1" ht="15">
      <c r="A223" s="33" t="s">
        <v>332</v>
      </c>
      <c r="B223" s="25">
        <v>3173000</v>
      </c>
    </row>
    <row r="224" spans="1:2" s="9" customFormat="1" ht="15">
      <c r="A224" s="5" t="s">
        <v>333</v>
      </c>
      <c r="B224" s="25">
        <v>1055000</v>
      </c>
    </row>
    <row r="225" spans="1:2" s="9" customFormat="1" ht="15">
      <c r="A225" s="5" t="s">
        <v>334</v>
      </c>
      <c r="B225" s="25">
        <v>3590000</v>
      </c>
    </row>
    <row r="226" spans="1:2" s="9" customFormat="1" ht="15">
      <c r="A226" s="33" t="s">
        <v>291</v>
      </c>
      <c r="B226" s="25">
        <v>4860000</v>
      </c>
    </row>
    <row r="227" spans="1:2" s="9" customFormat="1" ht="15">
      <c r="A227" s="33" t="s">
        <v>335</v>
      </c>
      <c r="B227" s="25">
        <v>1046100</v>
      </c>
    </row>
    <row r="228" spans="1:2" s="9" customFormat="1" ht="15">
      <c r="A228" s="5" t="s">
        <v>336</v>
      </c>
      <c r="B228" s="25">
        <v>167000</v>
      </c>
    </row>
    <row r="229" spans="1:2" s="9" customFormat="1" ht="15">
      <c r="A229" s="128" t="s">
        <v>342</v>
      </c>
      <c r="B229" s="25">
        <v>2060715</v>
      </c>
    </row>
    <row r="230" spans="1:2" s="9" customFormat="1" ht="15">
      <c r="A230" s="5" t="s">
        <v>337</v>
      </c>
      <c r="B230" s="25">
        <v>80000</v>
      </c>
    </row>
    <row r="231" spans="1:2" s="9" customFormat="1" ht="15">
      <c r="A231" s="5" t="s">
        <v>338</v>
      </c>
      <c r="B231" s="25">
        <v>249850</v>
      </c>
    </row>
    <row r="232" spans="1:2" s="9" customFormat="1" ht="15">
      <c r="A232" s="5" t="s">
        <v>339</v>
      </c>
      <c r="B232" s="25">
        <v>2160000</v>
      </c>
    </row>
    <row r="233" spans="1:2" s="9" customFormat="1" ht="15">
      <c r="A233" s="5" t="s">
        <v>340</v>
      </c>
      <c r="B233" s="25">
        <v>230000</v>
      </c>
    </row>
    <row r="234" spans="1:2" s="9" customFormat="1" ht="15">
      <c r="A234" s="5" t="s">
        <v>341</v>
      </c>
      <c r="B234" s="25">
        <v>70500</v>
      </c>
    </row>
    <row r="235" spans="1:2" s="9" customFormat="1" ht="15">
      <c r="A235" s="126" t="s">
        <v>159</v>
      </c>
      <c r="B235" s="127">
        <f>SUM(B223:B234)</f>
        <v>18742165</v>
      </c>
    </row>
    <row r="236" spans="1:2" s="9" customFormat="1" ht="15">
      <c r="A236" s="71"/>
      <c r="B236" s="63"/>
    </row>
    <row r="237" spans="1:2" s="9" customFormat="1" ht="15">
      <c r="A237" s="71"/>
      <c r="B237" s="63"/>
    </row>
    <row r="238" spans="1:2" s="9" customFormat="1" ht="15">
      <c r="A238" s="32" t="s">
        <v>297</v>
      </c>
      <c r="B238" s="63"/>
    </row>
    <row r="239" spans="1:2" s="9" customFormat="1" ht="15">
      <c r="A239" s="63"/>
      <c r="B239" s="63"/>
    </row>
    <row r="240" spans="1:2" s="9" customFormat="1" ht="15">
      <c r="A240" s="77" t="s">
        <v>1</v>
      </c>
      <c r="B240" s="77" t="s">
        <v>2</v>
      </c>
    </row>
    <row r="241" spans="1:2" s="9" customFormat="1" ht="15">
      <c r="A241" s="106" t="s">
        <v>263</v>
      </c>
      <c r="B241" s="178">
        <f>B242</f>
        <v>6000000</v>
      </c>
    </row>
    <row r="242" spans="1:2" s="9" customFormat="1" ht="15">
      <c r="A242" s="105" t="s">
        <v>406</v>
      </c>
      <c r="B242" s="104">
        <v>6000000</v>
      </c>
    </row>
    <row r="243" spans="1:2" s="9" customFormat="1" ht="15">
      <c r="A243" s="106" t="s">
        <v>265</v>
      </c>
      <c r="B243" s="178">
        <f>B244</f>
        <v>2930232</v>
      </c>
    </row>
    <row r="244" spans="1:2" s="9" customFormat="1" ht="15">
      <c r="A244" s="105" t="s">
        <v>403</v>
      </c>
      <c r="B244" s="104">
        <v>2930232</v>
      </c>
    </row>
    <row r="245" spans="1:2" s="9" customFormat="1" ht="15">
      <c r="A245" s="111" t="s">
        <v>404</v>
      </c>
      <c r="B245" s="178">
        <f>B246</f>
        <v>0</v>
      </c>
    </row>
    <row r="246" spans="1:2" s="9" customFormat="1" ht="15">
      <c r="A246" s="105" t="s">
        <v>404</v>
      </c>
      <c r="B246" s="104">
        <v>0</v>
      </c>
    </row>
    <row r="247" spans="1:2" s="9" customFormat="1" ht="15">
      <c r="A247" s="111" t="s">
        <v>266</v>
      </c>
      <c r="B247" s="178">
        <f>B248</f>
        <v>3010000</v>
      </c>
    </row>
    <row r="248" spans="1:2" s="9" customFormat="1" ht="15">
      <c r="A248" s="105" t="s">
        <v>407</v>
      </c>
      <c r="B248" s="104">
        <v>3010000</v>
      </c>
    </row>
    <row r="249" spans="1:2" s="9" customFormat="1" ht="15">
      <c r="A249" s="111" t="s">
        <v>405</v>
      </c>
      <c r="B249" s="178">
        <f>B250</f>
        <v>0</v>
      </c>
    </row>
    <row r="250" spans="1:2" s="9" customFormat="1" ht="15">
      <c r="A250" s="105" t="s">
        <v>405</v>
      </c>
      <c r="B250" s="104">
        <v>0</v>
      </c>
    </row>
    <row r="251" spans="1:2" s="9" customFormat="1" ht="15">
      <c r="A251" s="111" t="s">
        <v>267</v>
      </c>
      <c r="B251" s="178">
        <f>B252</f>
        <v>4700148</v>
      </c>
    </row>
    <row r="252" spans="1:2" s="9" customFormat="1" ht="15">
      <c r="A252" s="105" t="s">
        <v>408</v>
      </c>
      <c r="B252" s="104">
        <v>4700148</v>
      </c>
    </row>
    <row r="253" spans="1:2" s="9" customFormat="1" ht="15">
      <c r="A253" s="111" t="s">
        <v>409</v>
      </c>
      <c r="B253" s="178">
        <f>B254</f>
        <v>292815</v>
      </c>
    </row>
    <row r="254" spans="1:2" s="9" customFormat="1" ht="15">
      <c r="A254" s="105" t="s">
        <v>409</v>
      </c>
      <c r="B254" s="104">
        <v>292815</v>
      </c>
    </row>
    <row r="255" spans="1:2" s="9" customFormat="1" ht="15">
      <c r="A255" s="111" t="s">
        <v>11</v>
      </c>
      <c r="B255" s="178">
        <f>+B251+B247+B245+B243+B241+B253</f>
        <v>16933195</v>
      </c>
    </row>
    <row r="256" spans="1:2" s="9" customFormat="1" ht="15">
      <c r="A256" s="71"/>
      <c r="B256" s="63"/>
    </row>
    <row r="257" spans="1:2" s="9" customFormat="1" ht="15">
      <c r="A257" s="71"/>
      <c r="B257" s="63"/>
    </row>
    <row r="258" spans="1:2" s="9" customFormat="1" ht="15">
      <c r="A258" s="71"/>
      <c r="B258" s="63"/>
    </row>
    <row r="259" spans="1:2" s="9" customFormat="1" ht="15">
      <c r="A259" s="71"/>
      <c r="B259" s="63"/>
    </row>
    <row r="260" spans="1:2" s="9" customFormat="1" ht="15">
      <c r="A260" s="71"/>
      <c r="B260" s="63"/>
    </row>
    <row r="261" spans="1:2" s="9" customFormat="1" ht="15">
      <c r="A261" s="71"/>
      <c r="B261" s="63"/>
    </row>
    <row r="262" spans="1:2" s="9" customFormat="1" ht="15">
      <c r="A262" s="71"/>
      <c r="B262" s="63"/>
    </row>
    <row r="263" spans="1:2" s="9" customFormat="1" ht="15">
      <c r="A263" s="71"/>
      <c r="B263" s="63"/>
    </row>
    <row r="264" spans="1:2" s="9" customFormat="1" ht="15">
      <c r="A264" s="71"/>
      <c r="B264" s="63"/>
    </row>
    <row r="265" spans="1:2" s="9" customFormat="1" ht="15">
      <c r="A265" s="71"/>
      <c r="B265" s="63"/>
    </row>
    <row r="266" spans="1:2" s="9" customFormat="1" ht="15">
      <c r="A266" s="71"/>
      <c r="B266" s="63"/>
    </row>
    <row r="267" spans="1:2" s="9" customFormat="1" ht="15">
      <c r="A267" s="71"/>
      <c r="B267" s="63"/>
    </row>
    <row r="268" spans="1:2" s="9" customFormat="1" ht="39">
      <c r="A268" s="32" t="s">
        <v>176</v>
      </c>
      <c r="B268" s="63"/>
    </row>
    <row r="269" spans="1:2" s="9" customFormat="1" ht="15">
      <c r="A269" s="63"/>
      <c r="B269" s="63"/>
    </row>
    <row r="270" spans="1:2" s="9" customFormat="1" ht="15">
      <c r="A270" s="77" t="s">
        <v>1</v>
      </c>
      <c r="B270" s="77" t="s">
        <v>2</v>
      </c>
    </row>
    <row r="271" spans="1:2" s="9" customFormat="1" ht="15">
      <c r="A271" s="73"/>
      <c r="B271" s="62"/>
    </row>
    <row r="272" spans="1:2" s="9" customFormat="1" ht="63.75">
      <c r="A272" s="35" t="s">
        <v>229</v>
      </c>
      <c r="B272" s="37">
        <v>1278750</v>
      </c>
    </row>
    <row r="273" spans="1:2" s="9" customFormat="1" ht="38.25">
      <c r="A273" s="35" t="s">
        <v>230</v>
      </c>
      <c r="B273" s="37">
        <v>1980000</v>
      </c>
    </row>
    <row r="274" spans="1:2" s="9" customFormat="1" ht="25.5">
      <c r="A274" s="35" t="s">
        <v>231</v>
      </c>
      <c r="B274" s="38">
        <v>1980000</v>
      </c>
    </row>
    <row r="275" spans="1:2" s="9" customFormat="1" ht="51">
      <c r="A275" s="35" t="s">
        <v>232</v>
      </c>
      <c r="B275" s="38">
        <v>1320000</v>
      </c>
    </row>
    <row r="276" spans="1:2" s="9" customFormat="1" ht="38.25">
      <c r="A276" s="35" t="s">
        <v>233</v>
      </c>
      <c r="B276" s="39">
        <v>0</v>
      </c>
    </row>
    <row r="277" spans="1:2" s="9" customFormat="1" ht="51">
      <c r="A277" s="80" t="s">
        <v>234</v>
      </c>
      <c r="B277" s="40">
        <v>900000</v>
      </c>
    </row>
    <row r="278" spans="1:2" s="9" customFormat="1" ht="15">
      <c r="A278" s="41" t="s">
        <v>10</v>
      </c>
      <c r="B278" s="42">
        <f>SUM(B272:B277)</f>
        <v>7458750</v>
      </c>
    </row>
    <row r="279" spans="1:2" s="9" customFormat="1" ht="51">
      <c r="A279" s="35" t="s">
        <v>235</v>
      </c>
      <c r="B279" s="95">
        <v>990000</v>
      </c>
    </row>
    <row r="280" spans="1:2" s="9" customFormat="1" ht="38.25">
      <c r="A280" s="80" t="s">
        <v>236</v>
      </c>
      <c r="B280" s="96">
        <v>1980000</v>
      </c>
    </row>
    <row r="281" spans="1:2" s="9" customFormat="1" ht="15">
      <c r="A281" s="81" t="s">
        <v>161</v>
      </c>
      <c r="B281" s="97"/>
    </row>
    <row r="282" spans="1:2" s="9" customFormat="1" ht="33.75">
      <c r="A282" s="82" t="s">
        <v>237</v>
      </c>
      <c r="B282" s="95">
        <v>150000</v>
      </c>
    </row>
    <row r="283" spans="1:2" s="9" customFormat="1" ht="15">
      <c r="A283" s="83" t="s">
        <v>162</v>
      </c>
      <c r="B283" s="95">
        <v>250000</v>
      </c>
    </row>
    <row r="284" spans="1:2" s="9" customFormat="1" ht="15">
      <c r="A284" s="83" t="s">
        <v>163</v>
      </c>
      <c r="B284" s="95">
        <v>70000</v>
      </c>
    </row>
    <row r="285" spans="1:2" s="9" customFormat="1" ht="22.5">
      <c r="A285" s="83" t="s">
        <v>238</v>
      </c>
      <c r="B285" s="95">
        <v>600000</v>
      </c>
    </row>
    <row r="286" spans="1:2" s="9" customFormat="1" ht="15">
      <c r="A286" s="41" t="s">
        <v>10</v>
      </c>
      <c r="B286" s="42">
        <f>SUM(B279:B285)</f>
        <v>4040000</v>
      </c>
    </row>
    <row r="287" spans="1:2" s="9" customFormat="1" ht="25.5">
      <c r="A287" s="35" t="s">
        <v>239</v>
      </c>
      <c r="B287" s="37">
        <v>1155000</v>
      </c>
    </row>
    <row r="288" spans="1:2" s="9" customFormat="1" ht="15">
      <c r="A288" s="84" t="s">
        <v>240</v>
      </c>
      <c r="B288" s="38">
        <v>1155000</v>
      </c>
    </row>
    <row r="289" spans="1:2" s="9" customFormat="1" ht="25.5">
      <c r="A289" s="35" t="s">
        <v>241</v>
      </c>
      <c r="B289" s="38">
        <v>1155000</v>
      </c>
    </row>
    <row r="290" spans="1:2" s="9" customFormat="1" ht="25.5">
      <c r="A290" s="35" t="s">
        <v>242</v>
      </c>
      <c r="B290" s="40">
        <v>1155000</v>
      </c>
    </row>
    <row r="291" spans="1:2" s="9" customFormat="1" ht="25.5">
      <c r="A291" s="35" t="s">
        <v>243</v>
      </c>
      <c r="B291" s="40">
        <v>2475000</v>
      </c>
    </row>
    <row r="292" spans="1:2" s="9" customFormat="1" ht="15">
      <c r="A292" s="41" t="s">
        <v>10</v>
      </c>
      <c r="B292" s="42">
        <f>SUM(B287:B291)</f>
        <v>7095000</v>
      </c>
    </row>
    <row r="293" spans="1:2" s="9" customFormat="1" ht="25.5">
      <c r="A293" s="85" t="s">
        <v>244</v>
      </c>
      <c r="B293" s="37">
        <v>825000</v>
      </c>
    </row>
    <row r="294" spans="1:2" s="9" customFormat="1" ht="64.5">
      <c r="A294" s="86" t="s">
        <v>245</v>
      </c>
      <c r="B294" s="37">
        <v>825000</v>
      </c>
    </row>
    <row r="295" spans="1:2" s="9" customFormat="1" ht="38.25">
      <c r="A295" s="87" t="s">
        <v>246</v>
      </c>
      <c r="B295" s="37">
        <v>1540000</v>
      </c>
    </row>
    <row r="296" spans="1:2" s="9" customFormat="1" ht="38.25">
      <c r="A296" s="88" t="s">
        <v>247</v>
      </c>
      <c r="B296" s="38">
        <v>1980000</v>
      </c>
    </row>
    <row r="297" spans="1:2" s="9" customFormat="1" ht="63.75">
      <c r="A297" s="87" t="s">
        <v>248</v>
      </c>
      <c r="B297" s="38">
        <v>1833333.3333333333</v>
      </c>
    </row>
    <row r="298" spans="1:2" s="9" customFormat="1" ht="15">
      <c r="A298" s="41" t="s">
        <v>10</v>
      </c>
      <c r="B298" s="42">
        <f>SUM(B293:B297)</f>
        <v>7003333.333333333</v>
      </c>
    </row>
    <row r="299" spans="1:2" s="9" customFormat="1" ht="63.75">
      <c r="A299" s="89" t="s">
        <v>245</v>
      </c>
      <c r="B299" s="37">
        <v>200000</v>
      </c>
    </row>
    <row r="300" spans="1:2" s="9" customFormat="1" ht="60">
      <c r="A300" s="90" t="s">
        <v>249</v>
      </c>
      <c r="B300" s="37">
        <v>1100000</v>
      </c>
    </row>
    <row r="301" spans="1:2" s="9" customFormat="1" ht="15">
      <c r="A301" s="41" t="s">
        <v>10</v>
      </c>
      <c r="B301" s="42">
        <f>B299+B300</f>
        <v>1300000</v>
      </c>
    </row>
    <row r="302" spans="1:2" s="9" customFormat="1" ht="15">
      <c r="A302" s="72"/>
      <c r="B302" s="64"/>
    </row>
    <row r="303" spans="1:2" s="9" customFormat="1" ht="38.25">
      <c r="A303" s="35" t="s">
        <v>250</v>
      </c>
      <c r="B303" s="37">
        <v>407000</v>
      </c>
    </row>
    <row r="304" spans="1:2" s="9" customFormat="1" ht="38.25">
      <c r="A304" s="35" t="s">
        <v>251</v>
      </c>
      <c r="B304" s="38">
        <v>864000</v>
      </c>
    </row>
    <row r="305" spans="1:2" s="9" customFormat="1" ht="38.25">
      <c r="A305" s="35" t="s">
        <v>164</v>
      </c>
      <c r="B305" s="38">
        <v>4500000</v>
      </c>
    </row>
    <row r="306" spans="1:2" s="9" customFormat="1" ht="15">
      <c r="A306" s="41" t="s">
        <v>10</v>
      </c>
      <c r="B306" s="42">
        <f>SUM(B303:B305)</f>
        <v>5771000</v>
      </c>
    </row>
    <row r="307" spans="1:2" s="9" customFormat="1" ht="15">
      <c r="A307" s="72"/>
      <c r="B307" s="64"/>
    </row>
    <row r="308" spans="1:2" s="9" customFormat="1" ht="40.5">
      <c r="A308" s="35" t="s">
        <v>252</v>
      </c>
      <c r="B308" s="39">
        <v>2640000</v>
      </c>
    </row>
    <row r="309" spans="1:2" s="9" customFormat="1" ht="51">
      <c r="A309" s="35" t="s">
        <v>253</v>
      </c>
      <c r="B309" s="39">
        <v>720000</v>
      </c>
    </row>
    <row r="310" spans="1:2" s="9" customFormat="1" ht="51">
      <c r="A310" s="35" t="s">
        <v>254</v>
      </c>
      <c r="B310" s="39">
        <v>1585000</v>
      </c>
    </row>
    <row r="311" spans="1:2" s="9" customFormat="1" ht="25.5">
      <c r="A311" s="35" t="s">
        <v>255</v>
      </c>
      <c r="B311" s="39">
        <v>2035000</v>
      </c>
    </row>
    <row r="312" spans="1:2" s="9" customFormat="1" ht="15">
      <c r="A312" s="72"/>
      <c r="B312" s="64"/>
    </row>
    <row r="313" spans="1:2" s="9" customFormat="1" ht="15">
      <c r="A313" s="91" t="s">
        <v>165</v>
      </c>
      <c r="B313" s="38">
        <v>2520000</v>
      </c>
    </row>
    <row r="314" spans="1:2" s="9" customFormat="1" ht="15">
      <c r="A314" s="91" t="s">
        <v>166</v>
      </c>
      <c r="B314" s="38">
        <v>630000</v>
      </c>
    </row>
    <row r="315" spans="1:2" s="9" customFormat="1" ht="15">
      <c r="A315" s="41" t="s">
        <v>10</v>
      </c>
      <c r="B315" s="42">
        <f>SUM(B308:B314)</f>
        <v>10130000</v>
      </c>
    </row>
    <row r="316" spans="1:2" s="9" customFormat="1" ht="15.75">
      <c r="A316" s="92" t="s">
        <v>256</v>
      </c>
      <c r="B316" s="64"/>
    </row>
    <row r="317" spans="1:2" s="9" customFormat="1" ht="15">
      <c r="A317" s="93" t="s">
        <v>167</v>
      </c>
      <c r="B317" s="38">
        <v>123000</v>
      </c>
    </row>
    <row r="318" spans="1:2" s="9" customFormat="1" ht="15">
      <c r="A318" s="93" t="s">
        <v>168</v>
      </c>
      <c r="B318" s="38">
        <v>840000</v>
      </c>
    </row>
    <row r="319" spans="1:2" s="9" customFormat="1" ht="15">
      <c r="A319" s="93" t="s">
        <v>169</v>
      </c>
      <c r="B319" s="38">
        <v>900000</v>
      </c>
    </row>
    <row r="320" spans="1:2" s="9" customFormat="1" ht="15">
      <c r="A320" s="93" t="s">
        <v>170</v>
      </c>
      <c r="B320" s="38">
        <v>720000</v>
      </c>
    </row>
    <row r="321" spans="1:2" s="9" customFormat="1" ht="15">
      <c r="A321" s="93" t="s">
        <v>171</v>
      </c>
      <c r="B321" s="38">
        <v>900000</v>
      </c>
    </row>
    <row r="322" spans="1:2" s="9" customFormat="1" ht="15">
      <c r="A322" s="93" t="s">
        <v>172</v>
      </c>
      <c r="B322" s="38">
        <v>600000</v>
      </c>
    </row>
    <row r="323" spans="1:2" s="9" customFormat="1" ht="15">
      <c r="A323" s="41" t="s">
        <v>10</v>
      </c>
      <c r="B323" s="42">
        <f>SUM(B317:B322)</f>
        <v>4083000</v>
      </c>
    </row>
    <row r="324" spans="1:2" s="9" customFormat="1" ht="15">
      <c r="A324" s="72"/>
      <c r="B324" s="64"/>
    </row>
    <row r="325" spans="1:2" s="9" customFormat="1" ht="15.75">
      <c r="A325" s="94" t="s">
        <v>173</v>
      </c>
      <c r="B325" s="64"/>
    </row>
    <row r="326" spans="1:2" s="9" customFormat="1" ht="15">
      <c r="A326" s="36" t="s">
        <v>257</v>
      </c>
      <c r="B326" s="38">
        <v>3300000</v>
      </c>
    </row>
    <row r="327" spans="1:2" s="9" customFormat="1" ht="15">
      <c r="A327" s="36" t="s">
        <v>174</v>
      </c>
      <c r="B327" s="38">
        <v>8928000</v>
      </c>
    </row>
    <row r="328" spans="1:2" s="9" customFormat="1" ht="15">
      <c r="A328" s="41" t="s">
        <v>10</v>
      </c>
      <c r="B328" s="42">
        <f>SUM(B326:B327)</f>
        <v>12228000</v>
      </c>
    </row>
    <row r="329" spans="1:2" s="9" customFormat="1" ht="15">
      <c r="A329" s="43" t="s">
        <v>175</v>
      </c>
      <c r="B329" s="44">
        <v>2995866</v>
      </c>
    </row>
    <row r="330" spans="1:2" s="9" customFormat="1" ht="15">
      <c r="A330" s="34" t="s">
        <v>158</v>
      </c>
      <c r="B330" s="98">
        <f>B329+B328+B323+B315+B306+B301+B298+B292+B286+B278</f>
        <v>62104949.333333336</v>
      </c>
    </row>
    <row r="331" spans="1:2" s="9" customFormat="1" ht="15">
      <c r="A331" s="71"/>
      <c r="B331" s="63"/>
    </row>
    <row r="332" spans="1:2" s="7" customFormat="1" ht="15">
      <c r="A332" s="63"/>
      <c r="B332" s="63"/>
    </row>
    <row r="333" spans="1:2" ht="15">
      <c r="A333" s="26" t="s">
        <v>262</v>
      </c>
      <c r="B333" s="63"/>
    </row>
    <row r="334" spans="1:2" ht="15">
      <c r="A334" s="63"/>
      <c r="B334" s="63"/>
    </row>
    <row r="335" spans="1:4" ht="15">
      <c r="A335" s="77" t="s">
        <v>1</v>
      </c>
      <c r="B335" s="77" t="s">
        <v>2</v>
      </c>
      <c r="C335" s="9"/>
      <c r="D335" s="8"/>
    </row>
    <row r="336" spans="1:4" ht="15">
      <c r="A336" s="28" t="s">
        <v>14</v>
      </c>
      <c r="B336" s="25">
        <v>5700000</v>
      </c>
      <c r="C336" s="9"/>
      <c r="D336" s="8"/>
    </row>
    <row r="337" spans="1:4" ht="15">
      <c r="A337" s="28" t="s">
        <v>15</v>
      </c>
      <c r="B337" s="25">
        <v>7200000</v>
      </c>
      <c r="C337" s="9"/>
      <c r="D337" s="8"/>
    </row>
    <row r="338" spans="1:4" ht="15">
      <c r="A338" s="28" t="s">
        <v>16</v>
      </c>
      <c r="B338" s="25">
        <v>3900000</v>
      </c>
      <c r="C338" s="21"/>
      <c r="D338" s="8"/>
    </row>
    <row r="339" spans="1:4" ht="15">
      <c r="A339" s="28" t="s">
        <v>17</v>
      </c>
      <c r="B339" s="25">
        <v>4200000</v>
      </c>
      <c r="C339" s="21"/>
      <c r="D339" s="8"/>
    </row>
    <row r="340" spans="1:4" ht="15">
      <c r="A340" s="28" t="s">
        <v>258</v>
      </c>
      <c r="B340" s="25">
        <v>1800000</v>
      </c>
      <c r="C340" s="21"/>
      <c r="D340" s="8"/>
    </row>
    <row r="341" spans="1:4" ht="15">
      <c r="A341" s="28" t="s">
        <v>259</v>
      </c>
      <c r="B341" s="25">
        <v>400000</v>
      </c>
      <c r="C341" s="21"/>
      <c r="D341" s="8"/>
    </row>
    <row r="342" spans="1:4" ht="15">
      <c r="A342" s="28" t="s">
        <v>18</v>
      </c>
      <c r="B342" s="25">
        <v>2610000</v>
      </c>
      <c r="C342" s="21"/>
      <c r="D342" s="8"/>
    </row>
    <row r="343" spans="1:4" ht="15">
      <c r="A343" s="28" t="s">
        <v>19</v>
      </c>
      <c r="B343" s="25">
        <v>34000000</v>
      </c>
      <c r="C343" s="21"/>
      <c r="D343" s="8"/>
    </row>
    <row r="344" spans="1:4" ht="15">
      <c r="A344" s="28" t="s">
        <v>20</v>
      </c>
      <c r="B344" s="25">
        <v>13500000</v>
      </c>
      <c r="C344" s="21"/>
      <c r="D344" s="8"/>
    </row>
    <row r="345" spans="1:4" ht="26.25">
      <c r="A345" s="78" t="s">
        <v>260</v>
      </c>
      <c r="B345" s="25">
        <v>6000000</v>
      </c>
      <c r="C345" s="21"/>
      <c r="D345" s="8"/>
    </row>
    <row r="346" spans="1:4" ht="26.25">
      <c r="A346" s="78" t="s">
        <v>261</v>
      </c>
      <c r="B346" s="25">
        <v>0</v>
      </c>
      <c r="C346" s="21"/>
      <c r="D346" s="8"/>
    </row>
    <row r="347" spans="1:4" ht="15">
      <c r="A347" s="28" t="s">
        <v>21</v>
      </c>
      <c r="B347" s="25">
        <v>500000</v>
      </c>
      <c r="C347" s="21"/>
      <c r="D347" s="8"/>
    </row>
    <row r="348" spans="1:4" ht="15">
      <c r="A348" s="28" t="s">
        <v>22</v>
      </c>
      <c r="B348" s="25">
        <v>3000000</v>
      </c>
      <c r="C348" s="21"/>
      <c r="D348" s="8"/>
    </row>
    <row r="349" spans="1:4" ht="15">
      <c r="A349" s="28" t="s">
        <v>23</v>
      </c>
      <c r="B349" s="25">
        <v>1311914</v>
      </c>
      <c r="C349" s="21"/>
      <c r="D349" s="8"/>
    </row>
    <row r="350" spans="1:4" ht="15">
      <c r="A350" s="28" t="s">
        <v>24</v>
      </c>
      <c r="B350" s="25">
        <v>0</v>
      </c>
      <c r="C350" s="21"/>
      <c r="D350" s="8"/>
    </row>
    <row r="351" spans="1:4" ht="26.25">
      <c r="A351" s="78" t="s">
        <v>25</v>
      </c>
      <c r="B351" s="25">
        <v>4699999.92</v>
      </c>
      <c r="C351" s="21"/>
      <c r="D351" s="8"/>
    </row>
    <row r="352" spans="1:4" ht="26.25">
      <c r="A352" s="78" t="s">
        <v>26</v>
      </c>
      <c r="B352" s="25">
        <v>1110000</v>
      </c>
      <c r="C352" s="21"/>
      <c r="D352" s="8"/>
    </row>
    <row r="353" spans="1:4" ht="15">
      <c r="A353" s="28" t="s">
        <v>27</v>
      </c>
      <c r="B353" s="25">
        <v>1440000</v>
      </c>
      <c r="C353" s="21"/>
      <c r="D353" s="8"/>
    </row>
    <row r="354" spans="1:4" ht="15">
      <c r="A354" s="99" t="s">
        <v>3</v>
      </c>
      <c r="B354" s="45">
        <f>SUM(B336:B353)</f>
        <v>91371913.92</v>
      </c>
      <c r="C354" s="21"/>
      <c r="D354" s="8"/>
    </row>
    <row r="355" spans="1:4" s="9" customFormat="1" ht="15">
      <c r="A355" s="63"/>
      <c r="B355" s="63"/>
      <c r="C355" s="21"/>
      <c r="D355" s="8"/>
    </row>
    <row r="356" spans="1:4" s="9" customFormat="1" ht="15">
      <c r="A356" s="63"/>
      <c r="B356" s="63"/>
      <c r="C356" s="21"/>
      <c r="D356" s="8"/>
    </row>
    <row r="357" spans="1:4" ht="15">
      <c r="A357" s="63"/>
      <c r="B357" s="63"/>
      <c r="D357" s="8"/>
    </row>
    <row r="358" spans="1:4" ht="15">
      <c r="A358" s="26" t="s">
        <v>349</v>
      </c>
      <c r="B358" s="63"/>
      <c r="D358" s="8"/>
    </row>
    <row r="359" spans="1:2" ht="15">
      <c r="A359" s="63"/>
      <c r="B359" s="63"/>
    </row>
    <row r="360" spans="1:5" ht="15.75" thickBot="1">
      <c r="A360" s="77" t="s">
        <v>1</v>
      </c>
      <c r="B360" s="77" t="s">
        <v>2</v>
      </c>
      <c r="C360" s="9"/>
      <c r="E360" s="9"/>
    </row>
    <row r="361" spans="1:5" ht="15">
      <c r="A361" s="100" t="s">
        <v>28</v>
      </c>
      <c r="B361" s="102">
        <v>39156456</v>
      </c>
      <c r="C361" s="8"/>
      <c r="D361" s="8"/>
      <c r="E361" s="8"/>
    </row>
    <row r="362" spans="1:5" ht="15">
      <c r="A362" s="101" t="s">
        <v>29</v>
      </c>
      <c r="B362" s="103">
        <v>4470462</v>
      </c>
      <c r="C362" s="8"/>
      <c r="D362" s="8"/>
      <c r="E362" s="8"/>
    </row>
    <row r="363" spans="1:5" ht="15">
      <c r="A363" s="101" t="s">
        <v>30</v>
      </c>
      <c r="B363" s="103">
        <v>1266719</v>
      </c>
      <c r="C363" s="8"/>
      <c r="D363" s="8"/>
      <c r="E363" s="8"/>
    </row>
    <row r="364" spans="1:5" ht="15">
      <c r="A364" s="101" t="s">
        <v>31</v>
      </c>
      <c r="B364" s="103">
        <v>59044964</v>
      </c>
      <c r="C364" s="8"/>
      <c r="D364" s="8"/>
      <c r="E364" s="8"/>
    </row>
    <row r="365" spans="1:5" ht="15">
      <c r="A365" s="101" t="s">
        <v>32</v>
      </c>
      <c r="B365" s="103">
        <v>10113067</v>
      </c>
      <c r="C365" s="8"/>
      <c r="D365" s="8"/>
      <c r="E365" s="8"/>
    </row>
    <row r="366" spans="1:5" ht="15">
      <c r="A366" s="101" t="s">
        <v>33</v>
      </c>
      <c r="B366" s="103">
        <v>11204604</v>
      </c>
      <c r="C366" s="8"/>
      <c r="D366" s="8"/>
      <c r="E366" s="8"/>
    </row>
    <row r="367" spans="1:5" ht="15">
      <c r="A367" s="79" t="s">
        <v>3</v>
      </c>
      <c r="B367" s="27">
        <f>SUM(B361:B366)</f>
        <v>125256272</v>
      </c>
      <c r="C367" s="8"/>
      <c r="D367" s="8"/>
      <c r="E367" s="8"/>
    </row>
    <row r="368" spans="1:5" ht="15">
      <c r="A368" s="63"/>
      <c r="B368" s="63"/>
      <c r="C368" s="8"/>
      <c r="D368" s="8"/>
      <c r="E368" s="8"/>
    </row>
    <row r="369" spans="1:5" ht="15">
      <c r="A369" s="26" t="s">
        <v>298</v>
      </c>
      <c r="B369" s="63"/>
      <c r="C369" s="8"/>
      <c r="E369" s="9"/>
    </row>
    <row r="370" spans="1:6" ht="15">
      <c r="A370" s="63"/>
      <c r="B370" s="63"/>
      <c r="F370" s="9"/>
    </row>
    <row r="371" spans="1:6" ht="15">
      <c r="A371" s="77" t="s">
        <v>1</v>
      </c>
      <c r="B371" s="77" t="s">
        <v>2</v>
      </c>
      <c r="C371" s="9"/>
      <c r="F371" s="129"/>
    </row>
    <row r="372" spans="1:2" ht="15">
      <c r="A372" s="105" t="s">
        <v>268</v>
      </c>
      <c r="B372" s="25">
        <v>11219512</v>
      </c>
    </row>
    <row r="373" spans="1:5" ht="15">
      <c r="A373" s="105" t="s">
        <v>269</v>
      </c>
      <c r="B373" s="25">
        <v>1000000</v>
      </c>
      <c r="C373" s="9"/>
      <c r="E373" s="8"/>
    </row>
    <row r="374" spans="1:3" ht="15">
      <c r="A374" s="106" t="s">
        <v>270</v>
      </c>
      <c r="B374" s="107">
        <v>12219512</v>
      </c>
      <c r="C374" s="9"/>
    </row>
    <row r="375" spans="1:3" ht="15">
      <c r="A375" s="108" t="s">
        <v>271</v>
      </c>
      <c r="B375" s="25"/>
      <c r="C375" s="9"/>
    </row>
    <row r="376" spans="1:3" ht="15">
      <c r="A376" s="105" t="s">
        <v>272</v>
      </c>
      <c r="B376" s="25">
        <v>112500</v>
      </c>
      <c r="C376" s="9"/>
    </row>
    <row r="377" spans="1:3" ht="15">
      <c r="A377" s="105" t="s">
        <v>273</v>
      </c>
      <c r="B377" s="25">
        <v>375000</v>
      </c>
      <c r="C377" s="9"/>
    </row>
    <row r="378" spans="1:3" ht="15">
      <c r="A378" s="105" t="s">
        <v>274</v>
      </c>
      <c r="B378" s="25">
        <v>56250</v>
      </c>
      <c r="C378" s="9"/>
    </row>
    <row r="379" spans="1:3" ht="15">
      <c r="A379" s="105" t="s">
        <v>275</v>
      </c>
      <c r="B379" s="25">
        <v>150000</v>
      </c>
      <c r="C379" s="9"/>
    </row>
    <row r="380" spans="1:3" ht="15">
      <c r="A380" s="105" t="s">
        <v>276</v>
      </c>
      <c r="B380" s="25">
        <v>150000</v>
      </c>
      <c r="C380" s="9"/>
    </row>
    <row r="381" spans="1:3" ht="15">
      <c r="A381" s="105" t="s">
        <v>277</v>
      </c>
      <c r="B381" s="25">
        <v>187500</v>
      </c>
      <c r="C381" s="9"/>
    </row>
    <row r="382" spans="1:3" ht="15">
      <c r="A382" s="105" t="s">
        <v>278</v>
      </c>
      <c r="B382" s="25">
        <v>75000</v>
      </c>
      <c r="C382" s="9"/>
    </row>
    <row r="383" spans="1:3" ht="15">
      <c r="A383" s="105" t="s">
        <v>279</v>
      </c>
      <c r="B383" s="25">
        <v>150000</v>
      </c>
      <c r="C383" s="9"/>
    </row>
    <row r="384" spans="1:3" ht="15">
      <c r="A384" s="106" t="s">
        <v>280</v>
      </c>
      <c r="B384" s="107">
        <f>SUM(B376:B383)</f>
        <v>1256250</v>
      </c>
      <c r="C384" s="9"/>
    </row>
    <row r="385" spans="1:3" ht="15">
      <c r="A385" s="108" t="s">
        <v>281</v>
      </c>
      <c r="B385" s="25"/>
      <c r="C385" s="9"/>
    </row>
    <row r="386" spans="1:3" ht="15">
      <c r="A386" s="105" t="s">
        <v>132</v>
      </c>
      <c r="B386" s="25">
        <v>3800000</v>
      </c>
      <c r="C386" s="9"/>
    </row>
    <row r="387" spans="1:3" ht="15">
      <c r="A387" s="105" t="s">
        <v>264</v>
      </c>
      <c r="B387" s="25">
        <v>3000000</v>
      </c>
      <c r="C387" s="9"/>
    </row>
    <row r="388" spans="1:3" ht="15">
      <c r="A388" s="105" t="s">
        <v>282</v>
      </c>
      <c r="B388" s="25">
        <v>600000</v>
      </c>
      <c r="C388" s="9"/>
    </row>
    <row r="389" spans="1:3" ht="15">
      <c r="A389" s="105" t="s">
        <v>283</v>
      </c>
      <c r="B389" s="25">
        <v>900000</v>
      </c>
      <c r="C389" s="9"/>
    </row>
    <row r="390" spans="1:3" ht="15">
      <c r="A390" s="105" t="s">
        <v>284</v>
      </c>
      <c r="B390" s="25">
        <v>700000</v>
      </c>
      <c r="C390" s="9"/>
    </row>
    <row r="391" spans="1:3" ht="15">
      <c r="A391" s="105" t="s">
        <v>285</v>
      </c>
      <c r="B391" s="25">
        <v>1791000</v>
      </c>
      <c r="C391" s="9"/>
    </row>
    <row r="392" spans="1:3" ht="15">
      <c r="A392" s="105" t="s">
        <v>286</v>
      </c>
      <c r="B392" s="25">
        <v>1079100</v>
      </c>
      <c r="C392" s="9"/>
    </row>
    <row r="393" spans="1:3" ht="15">
      <c r="A393" s="105" t="s">
        <v>287</v>
      </c>
      <c r="B393" s="25">
        <v>135000</v>
      </c>
      <c r="C393" s="9"/>
    </row>
    <row r="394" spans="1:3" ht="15">
      <c r="A394" s="106" t="s">
        <v>288</v>
      </c>
      <c r="B394" s="107">
        <f>SUM(B386:B393)-18479</f>
        <v>11986621</v>
      </c>
      <c r="C394" s="9"/>
    </row>
    <row r="395" spans="1:3" ht="15">
      <c r="A395" s="108" t="s">
        <v>289</v>
      </c>
      <c r="B395" s="25"/>
      <c r="C395" s="9"/>
    </row>
    <row r="396" spans="1:3" ht="15">
      <c r="A396" s="105" t="s">
        <v>290</v>
      </c>
      <c r="B396" s="25">
        <v>400000</v>
      </c>
      <c r="C396" s="9"/>
    </row>
    <row r="397" spans="1:3" ht="15">
      <c r="A397" s="105" t="s">
        <v>291</v>
      </c>
      <c r="B397" s="25">
        <v>250000</v>
      </c>
      <c r="C397" s="9"/>
    </row>
    <row r="398" spans="1:3" ht="15">
      <c r="A398" s="105" t="s">
        <v>292</v>
      </c>
      <c r="B398" s="25">
        <v>165000</v>
      </c>
      <c r="C398" s="9"/>
    </row>
    <row r="399" spans="1:3" ht="15">
      <c r="A399" s="105" t="s">
        <v>293</v>
      </c>
      <c r="B399" s="25">
        <v>20000</v>
      </c>
      <c r="C399" s="9"/>
    </row>
    <row r="400" spans="1:3" ht="15">
      <c r="A400" s="105" t="s">
        <v>294</v>
      </c>
      <c r="B400" s="25">
        <v>600000</v>
      </c>
      <c r="C400" s="9"/>
    </row>
    <row r="401" spans="1:3" ht="15">
      <c r="A401" s="106" t="s">
        <v>295</v>
      </c>
      <c r="B401" s="107">
        <f>SUM(B396:B400)</f>
        <v>1435000</v>
      </c>
      <c r="C401" s="9"/>
    </row>
    <row r="402" spans="1:3" ht="15">
      <c r="A402" s="109" t="s">
        <v>296</v>
      </c>
      <c r="B402" s="110">
        <v>26897383</v>
      </c>
      <c r="C402" s="9"/>
    </row>
    <row r="403" spans="1:2" ht="15">
      <c r="A403" s="63"/>
      <c r="B403" s="63"/>
    </row>
    <row r="404" spans="1:2" s="9" customFormat="1" ht="15">
      <c r="A404" s="63"/>
      <c r="B404" s="63"/>
    </row>
    <row r="405" spans="1:2" ht="15">
      <c r="A405" s="26" t="s">
        <v>438</v>
      </c>
      <c r="B405" s="63"/>
    </row>
    <row r="406" spans="1:2" ht="15">
      <c r="A406" s="63"/>
      <c r="B406" s="63"/>
    </row>
    <row r="407" spans="1:8" ht="15">
      <c r="A407" s="77" t="s">
        <v>1</v>
      </c>
      <c r="B407" s="77" t="s">
        <v>2</v>
      </c>
      <c r="C407" s="9"/>
      <c r="D407" s="9"/>
      <c r="G407" s="9"/>
      <c r="H407" s="9"/>
    </row>
    <row r="408" spans="1:8" ht="38.25">
      <c r="A408" s="112" t="s">
        <v>299</v>
      </c>
      <c r="B408" s="25">
        <v>54250000</v>
      </c>
      <c r="C408" s="9"/>
      <c r="D408" s="8"/>
      <c r="E408" s="8"/>
      <c r="G408" s="9"/>
      <c r="H408" s="9"/>
    </row>
    <row r="409" spans="1:8" ht="77.25">
      <c r="A409" s="113" t="s">
        <v>300</v>
      </c>
      <c r="B409" s="25">
        <v>8376200</v>
      </c>
      <c r="C409" s="9"/>
      <c r="D409" s="8"/>
      <c r="E409" s="8"/>
      <c r="G409" s="9"/>
      <c r="H409" s="9"/>
    </row>
    <row r="410" spans="1:8" ht="26.25">
      <c r="A410" s="114" t="s">
        <v>301</v>
      </c>
      <c r="B410" s="25">
        <v>23400000</v>
      </c>
      <c r="C410" s="9"/>
      <c r="D410" s="8"/>
      <c r="E410" s="8"/>
      <c r="G410" s="9"/>
      <c r="H410" s="9"/>
    </row>
    <row r="411" spans="1:8" ht="26.25">
      <c r="A411" s="113" t="s">
        <v>302</v>
      </c>
      <c r="B411" s="25">
        <v>6175000</v>
      </c>
      <c r="C411" s="9"/>
      <c r="D411" s="8"/>
      <c r="E411" s="8"/>
      <c r="G411" s="9"/>
      <c r="H411" s="9"/>
    </row>
    <row r="412" spans="1:8" ht="26.25">
      <c r="A412" s="113" t="s">
        <v>303</v>
      </c>
      <c r="B412" s="25">
        <v>850000</v>
      </c>
      <c r="C412" s="9"/>
      <c r="D412" s="8"/>
      <c r="E412" s="8"/>
      <c r="G412" s="9"/>
      <c r="H412" s="9"/>
    </row>
    <row r="413" spans="1:5" ht="26.25">
      <c r="A413" s="115" t="s">
        <v>304</v>
      </c>
      <c r="B413" s="25">
        <v>600600</v>
      </c>
      <c r="C413" s="9"/>
      <c r="D413" s="8"/>
      <c r="E413" s="8"/>
    </row>
    <row r="414" spans="1:5" ht="26.25">
      <c r="A414" s="115" t="s">
        <v>305</v>
      </c>
      <c r="B414" s="25">
        <v>2069200</v>
      </c>
      <c r="C414" s="9"/>
      <c r="D414" s="8"/>
      <c r="E414" s="8"/>
    </row>
    <row r="415" spans="1:5" ht="15">
      <c r="A415" s="116" t="s">
        <v>11</v>
      </c>
      <c r="B415" s="27">
        <f>B414+B413+B412+B411+B410+B409+B408</f>
        <v>95721000</v>
      </c>
      <c r="C415" s="9"/>
      <c r="D415" s="8"/>
      <c r="E415" s="8"/>
    </row>
    <row r="416" spans="1:3" ht="15">
      <c r="A416" s="63"/>
      <c r="B416" s="63"/>
      <c r="C416" s="9"/>
    </row>
    <row r="417" spans="1:2" ht="15">
      <c r="A417" s="26" t="s">
        <v>331</v>
      </c>
      <c r="B417" s="63"/>
    </row>
    <row r="418" spans="1:2" ht="15">
      <c r="A418" s="63"/>
      <c r="B418" s="63"/>
    </row>
    <row r="419" spans="1:3" ht="15">
      <c r="A419" s="77" t="s">
        <v>1</v>
      </c>
      <c r="B419" s="77" t="s">
        <v>2</v>
      </c>
      <c r="C419" s="9"/>
    </row>
    <row r="420" spans="1:3" ht="15">
      <c r="A420" s="123" t="s">
        <v>75</v>
      </c>
      <c r="B420" s="25">
        <v>26890301.258</v>
      </c>
      <c r="C420" s="9"/>
    </row>
    <row r="421" spans="1:3" ht="15">
      <c r="A421" s="124" t="s">
        <v>72</v>
      </c>
      <c r="B421" s="25">
        <v>20697411.221</v>
      </c>
      <c r="C421" s="9"/>
    </row>
    <row r="422" spans="1:3" ht="15">
      <c r="A422" s="124" t="s">
        <v>73</v>
      </c>
      <c r="B422" s="25">
        <v>699906.119</v>
      </c>
      <c r="C422" s="9"/>
    </row>
    <row r="423" spans="1:3" ht="15">
      <c r="A423" s="124" t="s">
        <v>74</v>
      </c>
      <c r="B423" s="25">
        <v>30296030.002</v>
      </c>
      <c r="C423" s="9"/>
    </row>
    <row r="424" spans="1:6" ht="15">
      <c r="A424" s="125" t="s">
        <v>11</v>
      </c>
      <c r="B424" s="27">
        <f>B423+B422+B421+B420</f>
        <v>78583648.6</v>
      </c>
      <c r="C424" s="9"/>
      <c r="F424" s="9"/>
    </row>
    <row r="425" spans="1:3" ht="15">
      <c r="A425" s="63"/>
      <c r="B425" s="63"/>
      <c r="C425" s="9"/>
    </row>
    <row r="426" spans="1:2" ht="15">
      <c r="A426" s="26" t="s">
        <v>431</v>
      </c>
      <c r="B426" s="26"/>
    </row>
    <row r="427" spans="1:2" ht="15">
      <c r="A427" s="26"/>
      <c r="B427" s="26"/>
    </row>
    <row r="428" spans="1:4" ht="15">
      <c r="A428" s="77" t="s">
        <v>1</v>
      </c>
      <c r="B428" s="77" t="s">
        <v>2</v>
      </c>
      <c r="D428" s="9"/>
    </row>
    <row r="429" spans="1:3" ht="15">
      <c r="A429" s="28" t="s">
        <v>132</v>
      </c>
      <c r="B429" s="25">
        <v>0</v>
      </c>
      <c r="C429" s="9"/>
    </row>
    <row r="430" spans="1:3" ht="15">
      <c r="A430" s="186" t="s">
        <v>133</v>
      </c>
      <c r="B430" s="25">
        <v>750000</v>
      </c>
      <c r="C430" s="9"/>
    </row>
    <row r="431" spans="1:3" ht="15">
      <c r="A431" s="186" t="s">
        <v>134</v>
      </c>
      <c r="B431" s="25">
        <v>0</v>
      </c>
      <c r="C431" s="9"/>
    </row>
    <row r="432" spans="1:3" ht="15">
      <c r="A432" s="186" t="s">
        <v>135</v>
      </c>
      <c r="B432" s="25">
        <v>0</v>
      </c>
      <c r="C432" s="21"/>
    </row>
    <row r="433" spans="1:4" ht="15">
      <c r="A433" s="186" t="s">
        <v>136</v>
      </c>
      <c r="B433" s="25">
        <v>7500000</v>
      </c>
      <c r="C433" s="21"/>
      <c r="D433" s="9"/>
    </row>
    <row r="434" spans="1:4" ht="15">
      <c r="A434" s="187" t="s">
        <v>76</v>
      </c>
      <c r="B434" s="27">
        <f>SUM(B429:B433)</f>
        <v>8250000</v>
      </c>
      <c r="C434" s="9"/>
      <c r="D434" s="9"/>
    </row>
    <row r="435" spans="1:2" ht="15">
      <c r="A435" s="63"/>
      <c r="B435" s="63"/>
    </row>
    <row r="436" spans="1:2" ht="15">
      <c r="A436" s="26" t="s">
        <v>412</v>
      </c>
      <c r="B436" s="63"/>
    </row>
    <row r="437" spans="1:2" ht="15">
      <c r="A437" s="63"/>
      <c r="B437" s="63"/>
    </row>
    <row r="438" spans="1:2" ht="15">
      <c r="A438" s="77" t="s">
        <v>1</v>
      </c>
      <c r="B438" s="77" t="s">
        <v>2</v>
      </c>
    </row>
    <row r="439" spans="1:5" ht="26.25">
      <c r="A439" s="3" t="s">
        <v>415</v>
      </c>
      <c r="B439" s="28"/>
      <c r="C439" s="9"/>
      <c r="D439" s="9"/>
      <c r="E439" s="9"/>
    </row>
    <row r="440" spans="1:2" s="9" customFormat="1" ht="15">
      <c r="A440" s="179" t="s">
        <v>413</v>
      </c>
      <c r="B440" s="25">
        <v>90000000</v>
      </c>
    </row>
    <row r="441" spans="1:5" ht="15">
      <c r="A441" s="4" t="s">
        <v>414</v>
      </c>
      <c r="B441" s="25">
        <v>90000000</v>
      </c>
      <c r="C441" s="9"/>
      <c r="D441" s="9"/>
      <c r="E441" s="9"/>
    </row>
    <row r="442" spans="1:5" ht="15">
      <c r="A442" s="99" t="s">
        <v>3</v>
      </c>
      <c r="B442" s="45">
        <f>SUM(B440:B441)</f>
        <v>180000000</v>
      </c>
      <c r="C442" s="9"/>
      <c r="D442" s="9"/>
      <c r="E442" s="9"/>
    </row>
    <row r="443" spans="1:3" ht="15">
      <c r="A443" s="63"/>
      <c r="B443" s="63"/>
      <c r="C443" s="7"/>
    </row>
    <row r="444" spans="1:7" ht="15">
      <c r="A444" s="26" t="s">
        <v>353</v>
      </c>
      <c r="B444" s="63"/>
      <c r="D444" s="7"/>
      <c r="E444" s="7"/>
      <c r="F444" s="7"/>
      <c r="G444" s="7"/>
    </row>
    <row r="445" spans="1:7" ht="15">
      <c r="A445" s="63"/>
      <c r="B445" s="63"/>
      <c r="C445" s="7"/>
      <c r="D445" s="7"/>
      <c r="E445" s="7"/>
      <c r="F445" s="7"/>
      <c r="G445" s="7"/>
    </row>
    <row r="446" spans="1:7" ht="15">
      <c r="A446" s="77" t="s">
        <v>1</v>
      </c>
      <c r="B446" s="77" t="s">
        <v>2</v>
      </c>
      <c r="D446" s="7"/>
      <c r="E446" s="7"/>
      <c r="F446" s="7"/>
      <c r="G446" s="7"/>
    </row>
    <row r="447" spans="1:7" ht="26.25">
      <c r="A447" s="152" t="s">
        <v>354</v>
      </c>
      <c r="B447" s="163"/>
      <c r="D447" s="7"/>
      <c r="E447" s="7"/>
      <c r="F447" s="7"/>
      <c r="G447" s="7"/>
    </row>
    <row r="448" spans="1:3" ht="38.25">
      <c r="A448" s="153" t="s">
        <v>355</v>
      </c>
      <c r="B448" s="163">
        <v>0</v>
      </c>
      <c r="C448" s="7"/>
    </row>
    <row r="449" spans="1:3" ht="63.75">
      <c r="A449" s="153" t="s">
        <v>356</v>
      </c>
      <c r="B449" s="163">
        <v>0</v>
      </c>
      <c r="C449" s="7"/>
    </row>
    <row r="450" spans="1:4" ht="51">
      <c r="A450" s="153" t="s">
        <v>357</v>
      </c>
      <c r="B450" s="164">
        <v>1000000</v>
      </c>
      <c r="C450" s="9"/>
      <c r="D450" s="9"/>
    </row>
    <row r="451" spans="1:4" ht="38.25">
      <c r="A451" s="153" t="s">
        <v>358</v>
      </c>
      <c r="B451" s="164">
        <v>700000</v>
      </c>
      <c r="C451" s="9"/>
      <c r="D451" s="9"/>
    </row>
    <row r="452" spans="1:4" ht="38.25">
      <c r="A452" s="153" t="s">
        <v>359</v>
      </c>
      <c r="B452" s="164">
        <v>1000000</v>
      </c>
      <c r="C452" s="9"/>
      <c r="D452" s="9"/>
    </row>
    <row r="453" spans="1:4" ht="38.25">
      <c r="A453" s="153" t="s">
        <v>360</v>
      </c>
      <c r="B453" s="164">
        <v>1000000</v>
      </c>
      <c r="C453" s="9"/>
      <c r="D453" s="9"/>
    </row>
    <row r="454" spans="1:4" ht="15">
      <c r="A454" s="154" t="s">
        <v>3</v>
      </c>
      <c r="B454" s="165">
        <f>SUM(B448:B453)</f>
        <v>3700000</v>
      </c>
      <c r="C454" s="9"/>
      <c r="D454" s="9"/>
    </row>
    <row r="455" spans="1:4" ht="26.25">
      <c r="A455" s="152" t="s">
        <v>361</v>
      </c>
      <c r="B455" s="166"/>
      <c r="C455" s="9"/>
      <c r="D455" s="9"/>
    </row>
    <row r="456" spans="1:4" ht="25.5">
      <c r="A456" s="153" t="s">
        <v>362</v>
      </c>
      <c r="B456" s="163">
        <v>0</v>
      </c>
      <c r="C456" s="9"/>
      <c r="D456" s="9"/>
    </row>
    <row r="457" spans="1:4" ht="63.75">
      <c r="A457" s="153" t="s">
        <v>363</v>
      </c>
      <c r="B457" s="164">
        <v>500000</v>
      </c>
      <c r="C457" s="9"/>
      <c r="D457" s="9"/>
    </row>
    <row r="458" spans="1:4" ht="63.75">
      <c r="A458" s="153" t="s">
        <v>364</v>
      </c>
      <c r="B458" s="163">
        <v>0</v>
      </c>
      <c r="C458" s="9"/>
      <c r="D458" s="9"/>
    </row>
    <row r="459" spans="1:4" ht="15">
      <c r="A459" s="154" t="s">
        <v>3</v>
      </c>
      <c r="B459" s="165">
        <f>SUM(B456:B458)</f>
        <v>500000</v>
      </c>
      <c r="C459" s="9"/>
      <c r="D459" s="9"/>
    </row>
    <row r="460" spans="1:4" ht="15">
      <c r="A460" s="155" t="s">
        <v>365</v>
      </c>
      <c r="B460" s="166"/>
      <c r="C460" s="9"/>
      <c r="D460" s="9"/>
    </row>
    <row r="461" spans="1:4" ht="51">
      <c r="A461" s="153" t="s">
        <v>366</v>
      </c>
      <c r="B461" s="164">
        <v>2000000</v>
      </c>
      <c r="C461" s="9"/>
      <c r="D461" s="9"/>
    </row>
    <row r="462" spans="1:4" ht="15">
      <c r="A462" s="154" t="s">
        <v>3</v>
      </c>
      <c r="B462" s="165">
        <f>SUM(B461:B461)</f>
        <v>2000000</v>
      </c>
      <c r="C462" s="9"/>
      <c r="D462" s="9"/>
    </row>
    <row r="463" spans="1:4" ht="39">
      <c r="A463" s="152" t="s">
        <v>367</v>
      </c>
      <c r="B463" s="166"/>
      <c r="C463" s="9"/>
      <c r="D463" s="9"/>
    </row>
    <row r="464" spans="1:4" ht="15">
      <c r="A464" s="153" t="s">
        <v>368</v>
      </c>
      <c r="B464" s="163">
        <v>0</v>
      </c>
      <c r="C464" s="9"/>
      <c r="D464" s="9"/>
    </row>
    <row r="465" spans="1:4" ht="15">
      <c r="A465" s="154" t="s">
        <v>3</v>
      </c>
      <c r="B465" s="165">
        <f>SUM(B464:B464)</f>
        <v>0</v>
      </c>
      <c r="C465" s="9"/>
      <c r="D465" s="9"/>
    </row>
    <row r="466" spans="1:4" ht="15">
      <c r="A466" s="156" t="s">
        <v>369</v>
      </c>
      <c r="B466" s="166"/>
      <c r="C466" s="9"/>
      <c r="D466" s="9"/>
    </row>
    <row r="467" spans="1:4" ht="63.75">
      <c r="A467" s="153" t="s">
        <v>370</v>
      </c>
      <c r="B467" s="167">
        <v>3500000</v>
      </c>
      <c r="C467" s="9"/>
      <c r="D467" s="9"/>
    </row>
    <row r="468" spans="1:4" ht="15">
      <c r="A468" s="154" t="s">
        <v>3</v>
      </c>
      <c r="B468" s="165">
        <f>SUM(B467:B467)</f>
        <v>3500000</v>
      </c>
      <c r="C468" s="9"/>
      <c r="D468" s="9"/>
    </row>
    <row r="469" spans="1:4" ht="15">
      <c r="A469" s="156" t="s">
        <v>371</v>
      </c>
      <c r="B469" s="166"/>
      <c r="C469" s="9"/>
      <c r="D469" s="9"/>
    </row>
    <row r="470" spans="1:4" ht="76.5">
      <c r="A470" s="153" t="s">
        <v>372</v>
      </c>
      <c r="B470" s="167">
        <v>1500000</v>
      </c>
      <c r="C470" s="9"/>
      <c r="D470" s="9"/>
    </row>
    <row r="471" spans="1:4" ht="15">
      <c r="A471" s="154" t="s">
        <v>3</v>
      </c>
      <c r="B471" s="165">
        <f>SUM(B470:B470)</f>
        <v>1500000</v>
      </c>
      <c r="C471" s="9"/>
      <c r="D471" s="9"/>
    </row>
    <row r="472" spans="1:4" ht="51.75">
      <c r="A472" s="152" t="s">
        <v>373</v>
      </c>
      <c r="B472" s="166"/>
      <c r="C472" s="9"/>
      <c r="D472" s="9"/>
    </row>
    <row r="473" spans="1:4" ht="63.75">
      <c r="A473" s="153" t="s">
        <v>374</v>
      </c>
      <c r="B473" s="168">
        <v>1000000</v>
      </c>
      <c r="C473" s="9"/>
      <c r="D473" s="9"/>
    </row>
    <row r="474" spans="1:4" ht="15">
      <c r="A474" s="154" t="s">
        <v>3</v>
      </c>
      <c r="B474" s="165">
        <f>SUM(B473:B473)</f>
        <v>1000000</v>
      </c>
      <c r="C474" s="9"/>
      <c r="D474" s="9"/>
    </row>
    <row r="475" spans="1:4" ht="76.5">
      <c r="A475" s="153" t="s">
        <v>375</v>
      </c>
      <c r="B475" s="168">
        <v>1200000</v>
      </c>
      <c r="C475" s="9"/>
      <c r="D475" s="9"/>
    </row>
    <row r="476" spans="1:4" ht="15">
      <c r="A476" s="154" t="s">
        <v>3</v>
      </c>
      <c r="B476" s="165">
        <f>SUM(B475:B475)</f>
        <v>1200000</v>
      </c>
      <c r="C476" s="9"/>
      <c r="D476" s="9"/>
    </row>
    <row r="477" spans="1:4" ht="38.25">
      <c r="A477" s="157" t="s">
        <v>376</v>
      </c>
      <c r="B477" s="166"/>
      <c r="C477" s="9"/>
      <c r="D477" s="9"/>
    </row>
    <row r="478" spans="1:4" ht="51">
      <c r="A478" s="153" t="s">
        <v>377</v>
      </c>
      <c r="B478" s="169">
        <v>0</v>
      </c>
      <c r="C478" s="9"/>
      <c r="D478" s="9"/>
    </row>
    <row r="479" spans="1:4" ht="15">
      <c r="A479" s="153" t="s">
        <v>378</v>
      </c>
      <c r="B479" s="169">
        <v>0</v>
      </c>
      <c r="C479" s="9"/>
      <c r="D479" s="9"/>
    </row>
    <row r="480" spans="1:4" ht="15">
      <c r="A480" s="154" t="s">
        <v>3</v>
      </c>
      <c r="B480" s="165">
        <f>SUM(B479:B479)</f>
        <v>0</v>
      </c>
      <c r="C480" s="9"/>
      <c r="D480" s="9"/>
    </row>
    <row r="481" spans="1:4" ht="21" thickBot="1">
      <c r="A481" s="158" t="s">
        <v>379</v>
      </c>
      <c r="B481" s="170">
        <v>3833200</v>
      </c>
      <c r="C481" s="9"/>
      <c r="D481" s="9"/>
    </row>
    <row r="482" spans="1:4" ht="15.75" thickBot="1">
      <c r="A482" s="159" t="s">
        <v>380</v>
      </c>
      <c r="B482" s="171">
        <f>SUM(B454+B459+B462+B465+B468+B471+B474+B476+B481)</f>
        <v>17233200</v>
      </c>
      <c r="C482" s="9"/>
      <c r="D482" s="9"/>
    </row>
    <row r="483" spans="1:4" ht="15.75" thickBot="1">
      <c r="A483" s="160" t="s">
        <v>381</v>
      </c>
      <c r="B483" s="172"/>
      <c r="C483" s="9"/>
      <c r="D483" s="9"/>
    </row>
    <row r="484" spans="1:4" ht="15.75" thickBot="1">
      <c r="A484" s="160" t="s">
        <v>382</v>
      </c>
      <c r="B484" s="173">
        <f>1200*560</f>
        <v>672000</v>
      </c>
      <c r="C484" s="9"/>
      <c r="D484" s="9"/>
    </row>
    <row r="485" spans="1:4" ht="15.75" thickBot="1">
      <c r="A485" s="160" t="s">
        <v>383</v>
      </c>
      <c r="B485" s="174"/>
      <c r="C485" s="9"/>
      <c r="D485" s="9"/>
    </row>
    <row r="486" spans="1:4" ht="15.75" thickBot="1">
      <c r="A486" s="160" t="s">
        <v>384</v>
      </c>
      <c r="B486" s="173">
        <f>900*560</f>
        <v>504000</v>
      </c>
      <c r="C486" s="9"/>
      <c r="D486" s="9"/>
    </row>
    <row r="487" spans="1:4" ht="15.75" thickBot="1">
      <c r="A487" s="160" t="s">
        <v>385</v>
      </c>
      <c r="B487" s="174"/>
      <c r="C487" s="9"/>
      <c r="D487" s="9"/>
    </row>
    <row r="488" spans="1:4" ht="15.75" thickBot="1">
      <c r="A488" s="160" t="s">
        <v>386</v>
      </c>
      <c r="B488" s="173">
        <f>1560*560</f>
        <v>873600</v>
      </c>
      <c r="C488" s="9"/>
      <c r="D488" s="9"/>
    </row>
    <row r="489" spans="1:4" ht="15.75" thickBot="1">
      <c r="A489" s="160" t="s">
        <v>387</v>
      </c>
      <c r="B489" s="174"/>
      <c r="C489" s="9"/>
      <c r="D489" s="9"/>
    </row>
    <row r="490" spans="1:4" ht="15.75" thickBot="1">
      <c r="A490" s="160" t="s">
        <v>388</v>
      </c>
      <c r="B490" s="173">
        <f>900*560</f>
        <v>504000</v>
      </c>
      <c r="C490" s="9"/>
      <c r="D490" s="9"/>
    </row>
    <row r="491" spans="1:4" ht="15.75" thickBot="1">
      <c r="A491" s="160" t="s">
        <v>389</v>
      </c>
      <c r="B491" s="174"/>
      <c r="C491" s="9"/>
      <c r="D491" s="9"/>
    </row>
    <row r="492" spans="1:4" ht="15.75" thickBot="1">
      <c r="A492" s="160" t="s">
        <v>390</v>
      </c>
      <c r="B492" s="174"/>
      <c r="C492" s="9"/>
      <c r="D492" s="9"/>
    </row>
    <row r="493" spans="1:4" ht="15.75" thickBot="1">
      <c r="A493" s="160" t="s">
        <v>391</v>
      </c>
      <c r="B493" s="174"/>
      <c r="C493" s="9"/>
      <c r="D493" s="9"/>
    </row>
    <row r="494" spans="1:4" ht="15.75" thickBot="1">
      <c r="A494" s="160" t="s">
        <v>392</v>
      </c>
      <c r="B494" s="173">
        <f>2196*560</f>
        <v>1229760</v>
      </c>
      <c r="C494" s="9"/>
      <c r="D494" s="9"/>
    </row>
    <row r="495" spans="1:4" ht="15.75" thickBot="1">
      <c r="A495" s="160" t="s">
        <v>393</v>
      </c>
      <c r="B495" s="173">
        <f>560*1800</f>
        <v>1008000</v>
      </c>
      <c r="C495" s="9"/>
      <c r="D495" s="9"/>
    </row>
    <row r="496" spans="1:4" ht="15.75" thickBot="1">
      <c r="A496" s="160" t="s">
        <v>394</v>
      </c>
      <c r="B496" s="173">
        <f>4320*560</f>
        <v>2419200</v>
      </c>
      <c r="C496" s="9"/>
      <c r="D496" s="9"/>
    </row>
    <row r="497" spans="1:4" ht="15.75" thickBot="1">
      <c r="A497" s="160" t="s">
        <v>395</v>
      </c>
      <c r="B497" s="174"/>
      <c r="C497" s="9"/>
      <c r="D497" s="9"/>
    </row>
    <row r="498" spans="1:4" ht="15.75" thickBot="1">
      <c r="A498" s="160" t="s">
        <v>396</v>
      </c>
      <c r="B498" s="173">
        <f>7200*560</f>
        <v>4032000</v>
      </c>
      <c r="C498" s="9"/>
      <c r="D498" s="9"/>
    </row>
    <row r="499" spans="1:4" ht="15.75" thickBot="1">
      <c r="A499" s="160" t="s">
        <v>397</v>
      </c>
      <c r="B499" s="174"/>
      <c r="C499" s="9"/>
      <c r="D499" s="9"/>
    </row>
    <row r="500" spans="1:4" ht="15.75" thickBot="1">
      <c r="A500" s="160" t="s">
        <v>398</v>
      </c>
      <c r="B500" s="173">
        <f>5600*560</f>
        <v>3136000</v>
      </c>
      <c r="C500" s="9"/>
      <c r="D500" s="9"/>
    </row>
    <row r="501" spans="1:4" ht="15.75" thickBot="1">
      <c r="A501" s="160" t="s">
        <v>399</v>
      </c>
      <c r="B501" s="175">
        <f>2800*560</f>
        <v>1568000</v>
      </c>
      <c r="C501" s="9"/>
      <c r="D501" s="9"/>
    </row>
    <row r="502" spans="1:4" ht="15.75" thickBot="1">
      <c r="A502" s="161" t="s">
        <v>400</v>
      </c>
      <c r="B502" s="176">
        <f>SUM(B483:B501)</f>
        <v>15946560</v>
      </c>
      <c r="C502" s="9"/>
      <c r="D502" s="9"/>
    </row>
    <row r="503" spans="1:4" ht="15.75" thickBot="1">
      <c r="A503" s="162" t="s">
        <v>401</v>
      </c>
      <c r="B503" s="177">
        <f>B502+B482</f>
        <v>33179760</v>
      </c>
      <c r="C503" s="9"/>
      <c r="D503" s="9"/>
    </row>
    <row r="504" spans="3:4" ht="15">
      <c r="C504" s="9"/>
      <c r="D504" s="9"/>
    </row>
    <row r="505" spans="3:4" ht="15">
      <c r="C505" s="9"/>
      <c r="D505" s="9"/>
    </row>
    <row r="506" spans="3:4" ht="15">
      <c r="C506" s="9"/>
      <c r="D506" s="9"/>
    </row>
    <row r="507" spans="3:4" ht="15">
      <c r="C507" s="9"/>
      <c r="D507" s="9"/>
    </row>
    <row r="508" spans="3:4" ht="15">
      <c r="C508" s="9"/>
      <c r="D508" s="9"/>
    </row>
  </sheetData>
  <sheetProtection/>
  <printOptions/>
  <pageMargins left="0.787401575" right="0.787401575" top="0.984251969" bottom="0.984251969" header="0.4921259845" footer="0.4921259845"/>
  <pageSetup horizontalDpi="600" verticalDpi="600" orientation="portrait" paperSize="9" r:id="rId1"/>
  <ignoredErrors>
    <ignoredError sqref="B157 B185 B193" formulaRange="1"/>
  </ignoredErrors>
</worksheet>
</file>

<file path=xl/worksheets/sheet2.xml><?xml version="1.0" encoding="utf-8"?>
<worksheet xmlns="http://schemas.openxmlformats.org/spreadsheetml/2006/main" xmlns:r="http://schemas.openxmlformats.org/officeDocument/2006/relationships">
  <dimension ref="A1:H501"/>
  <sheetViews>
    <sheetView zoomScale="110" zoomScaleNormal="110" zoomScalePageLayoutView="0" workbookViewId="0" topLeftCell="A490">
      <selection activeCell="B506" sqref="B506"/>
    </sheetView>
  </sheetViews>
  <sheetFormatPr defaultColWidth="11.421875" defaultRowHeight="15"/>
  <cols>
    <col min="1" max="1" width="47.28125" style="9" customWidth="1"/>
    <col min="2" max="2" width="16.28125" style="9" customWidth="1"/>
    <col min="3" max="3" width="11.421875" style="9" customWidth="1"/>
    <col min="4" max="4" width="17.00390625" style="9" customWidth="1"/>
    <col min="5" max="5" width="18.7109375" style="9" customWidth="1"/>
    <col min="6" max="6" width="17.8515625" style="9" customWidth="1"/>
    <col min="7" max="7" width="17.28125" style="9" customWidth="1"/>
    <col min="8" max="8" width="11.421875" style="9" customWidth="1"/>
    <col min="9" max="16384" width="11.421875" style="9" customWidth="1"/>
  </cols>
  <sheetData>
    <row r="1" spans="1:2" ht="15">
      <c r="A1" s="23" t="s">
        <v>416</v>
      </c>
      <c r="B1" s="24"/>
    </row>
    <row r="2" spans="1:2" ht="15">
      <c r="A2" s="26" t="s">
        <v>417</v>
      </c>
      <c r="B2" s="24"/>
    </row>
    <row r="3" spans="1:2" ht="15">
      <c r="A3" s="24"/>
      <c r="B3" s="24"/>
    </row>
    <row r="4" spans="1:2" ht="15">
      <c r="A4" s="77" t="s">
        <v>1</v>
      </c>
      <c r="B4" s="77" t="s">
        <v>178</v>
      </c>
    </row>
    <row r="5" spans="1:2" ht="15">
      <c r="A5" s="28" t="s">
        <v>137</v>
      </c>
      <c r="B5" s="25">
        <v>137250</v>
      </c>
    </row>
    <row r="6" spans="1:2" ht="15">
      <c r="A6" s="28" t="s">
        <v>138</v>
      </c>
      <c r="B6" s="25">
        <v>41250</v>
      </c>
    </row>
    <row r="7" spans="1:2" ht="15" customHeight="1">
      <c r="A7" s="28" t="s">
        <v>139</v>
      </c>
      <c r="B7" s="25">
        <v>56250</v>
      </c>
    </row>
    <row r="8" spans="1:3" ht="15">
      <c r="A8" s="28" t="s">
        <v>140</v>
      </c>
      <c r="B8" s="25">
        <v>11250</v>
      </c>
      <c r="C8" s="21"/>
    </row>
    <row r="9" spans="1:3" ht="15" customHeight="1">
      <c r="A9" s="28" t="s">
        <v>226</v>
      </c>
      <c r="B9" s="25">
        <v>17886000</v>
      </c>
      <c r="C9" s="21"/>
    </row>
    <row r="10" spans="1:3" ht="15" customHeight="1">
      <c r="A10" s="28" t="s">
        <v>141</v>
      </c>
      <c r="B10" s="25">
        <v>137340</v>
      </c>
      <c r="C10" s="21"/>
    </row>
    <row r="11" spans="1:3" ht="15" customHeight="1">
      <c r="A11" s="28" t="s">
        <v>142</v>
      </c>
      <c r="B11" s="25">
        <v>364500</v>
      </c>
      <c r="C11" s="21"/>
    </row>
    <row r="12" spans="1:3" ht="15" customHeight="1">
      <c r="A12" s="28" t="s">
        <v>143</v>
      </c>
      <c r="B12" s="25">
        <v>1205200</v>
      </c>
      <c r="C12" s="21"/>
    </row>
    <row r="13" spans="1:3" ht="15">
      <c r="A13" s="28" t="s">
        <v>144</v>
      </c>
      <c r="B13" s="25">
        <v>925200</v>
      </c>
      <c r="C13" s="21"/>
    </row>
    <row r="14" spans="1:3" ht="15">
      <c r="A14" s="28" t="s">
        <v>145</v>
      </c>
      <c r="B14" s="25">
        <v>143250</v>
      </c>
      <c r="C14" s="21"/>
    </row>
    <row r="15" spans="1:3" ht="15" customHeight="1">
      <c r="A15" s="28" t="s">
        <v>146</v>
      </c>
      <c r="B15" s="25">
        <v>221250</v>
      </c>
      <c r="C15" s="21"/>
    </row>
    <row r="16" spans="1:3" ht="15" customHeight="1">
      <c r="A16" s="28" t="s">
        <v>147</v>
      </c>
      <c r="B16" s="25">
        <v>761700</v>
      </c>
      <c r="C16" s="21"/>
    </row>
    <row r="17" spans="1:3" ht="15">
      <c r="A17" s="28" t="s">
        <v>148</v>
      </c>
      <c r="B17" s="25">
        <v>98250</v>
      </c>
      <c r="C17" s="21"/>
    </row>
    <row r="18" spans="1:3" ht="15">
      <c r="A18" s="28" t="s">
        <v>149</v>
      </c>
      <c r="B18" s="25">
        <v>150000</v>
      </c>
      <c r="C18" s="21"/>
    </row>
    <row r="19" spans="1:3" ht="15">
      <c r="A19" s="28" t="s">
        <v>150</v>
      </c>
      <c r="B19" s="25">
        <v>229500</v>
      </c>
      <c r="C19" s="21"/>
    </row>
    <row r="20" spans="1:3" ht="15">
      <c r="A20" s="28" t="s">
        <v>151</v>
      </c>
      <c r="B20" s="25">
        <v>146250</v>
      </c>
      <c r="C20" s="21"/>
    </row>
    <row r="21" spans="1:3" ht="15" customHeight="1">
      <c r="A21" s="28" t="s">
        <v>152</v>
      </c>
      <c r="B21" s="25">
        <v>41250</v>
      </c>
      <c r="C21" s="21"/>
    </row>
    <row r="22" spans="1:3" ht="15" customHeight="1">
      <c r="A22" s="28" t="s">
        <v>153</v>
      </c>
      <c r="B22" s="25">
        <v>41250</v>
      </c>
      <c r="C22" s="21"/>
    </row>
    <row r="23" spans="1:3" ht="15">
      <c r="A23" s="28" t="s">
        <v>154</v>
      </c>
      <c r="B23" s="25">
        <v>41250</v>
      </c>
      <c r="C23" s="21"/>
    </row>
    <row r="24" spans="1:3" ht="15" customHeight="1">
      <c r="A24" s="28" t="s">
        <v>155</v>
      </c>
      <c r="B24" s="25">
        <v>586450</v>
      </c>
      <c r="C24" s="21"/>
    </row>
    <row r="25" spans="1:3" ht="15">
      <c r="A25" s="28" t="s">
        <v>156</v>
      </c>
      <c r="B25" s="25">
        <v>171450</v>
      </c>
      <c r="C25" s="21"/>
    </row>
    <row r="26" spans="1:3" ht="15" customHeight="1">
      <c r="A26" s="28" t="s">
        <v>157</v>
      </c>
      <c r="B26" s="25">
        <v>1696000</v>
      </c>
      <c r="C26" s="21"/>
    </row>
    <row r="27" spans="1:3" ht="15" customHeight="1">
      <c r="A27" s="28" t="s">
        <v>227</v>
      </c>
      <c r="B27" s="25">
        <v>2420000</v>
      </c>
      <c r="C27" s="21"/>
    </row>
    <row r="28" spans="1:3" ht="15">
      <c r="A28" s="79" t="s">
        <v>3</v>
      </c>
      <c r="B28" s="27">
        <f>SUM(B5:B27)</f>
        <v>27512090</v>
      </c>
      <c r="C28" s="21"/>
    </row>
    <row r="29" spans="1:2" ht="15">
      <c r="A29" s="63"/>
      <c r="B29" s="63"/>
    </row>
    <row r="30" spans="1:2" ht="15">
      <c r="A30" s="26" t="s">
        <v>418</v>
      </c>
      <c r="B30" s="26"/>
    </row>
    <row r="31" spans="1:2" ht="15">
      <c r="A31" s="26"/>
      <c r="B31" s="26"/>
    </row>
    <row r="32" spans="1:2" ht="15">
      <c r="A32" s="77" t="s">
        <v>1</v>
      </c>
      <c r="B32" s="77" t="s">
        <v>178</v>
      </c>
    </row>
    <row r="33" spans="1:2" ht="39">
      <c r="A33" s="78" t="s">
        <v>212</v>
      </c>
      <c r="B33" s="25">
        <v>906500</v>
      </c>
    </row>
    <row r="34" spans="1:2" ht="39">
      <c r="A34" s="78" t="s">
        <v>213</v>
      </c>
      <c r="B34" s="25">
        <v>2869394</v>
      </c>
    </row>
    <row r="35" spans="1:2" ht="26.25">
      <c r="A35" s="78" t="s">
        <v>214</v>
      </c>
      <c r="B35" s="25">
        <v>891000</v>
      </c>
    </row>
    <row r="36" spans="1:2" ht="51.75">
      <c r="A36" s="78" t="s">
        <v>215</v>
      </c>
      <c r="B36" s="25">
        <v>1149750</v>
      </c>
    </row>
    <row r="37" spans="1:2" ht="26.25">
      <c r="A37" s="78" t="s">
        <v>216</v>
      </c>
      <c r="B37" s="25">
        <v>570000</v>
      </c>
    </row>
    <row r="38" spans="1:2" ht="51.75">
      <c r="A38" s="78" t="s">
        <v>217</v>
      </c>
      <c r="B38" s="25">
        <v>5984991</v>
      </c>
    </row>
    <row r="39" spans="1:2" ht="26.25">
      <c r="A39" s="78" t="s">
        <v>218</v>
      </c>
      <c r="B39" s="25">
        <v>750000</v>
      </c>
    </row>
    <row r="40" spans="1:2" ht="39">
      <c r="A40" s="78" t="s">
        <v>219</v>
      </c>
      <c r="B40" s="25">
        <v>464000</v>
      </c>
    </row>
    <row r="41" spans="1:2" ht="39">
      <c r="A41" s="78" t="s">
        <v>220</v>
      </c>
      <c r="B41" s="25">
        <v>3960000</v>
      </c>
    </row>
    <row r="42" spans="1:2" ht="26.25">
      <c r="A42" s="78" t="s">
        <v>221</v>
      </c>
      <c r="B42" s="25">
        <v>4742494</v>
      </c>
    </row>
    <row r="43" spans="1:4" ht="39">
      <c r="A43" s="78" t="s">
        <v>225</v>
      </c>
      <c r="B43" s="25">
        <v>43834500</v>
      </c>
      <c r="D43" s="8"/>
    </row>
    <row r="44" spans="1:2" ht="51.75">
      <c r="A44" s="78" t="s">
        <v>222</v>
      </c>
      <c r="B44" s="25">
        <v>7121485</v>
      </c>
    </row>
    <row r="45" spans="1:2" ht="15">
      <c r="A45" s="28" t="s">
        <v>223</v>
      </c>
      <c r="B45" s="25">
        <v>1200000</v>
      </c>
    </row>
    <row r="46" spans="1:2" ht="15">
      <c r="A46" s="28" t="s">
        <v>6</v>
      </c>
      <c r="B46" s="25">
        <v>1681590</v>
      </c>
    </row>
    <row r="47" spans="1:2" ht="15">
      <c r="A47" s="28" t="s">
        <v>7</v>
      </c>
      <c r="B47" s="25">
        <v>0</v>
      </c>
    </row>
    <row r="48" spans="1:2" ht="15">
      <c r="A48" s="28" t="s">
        <v>8</v>
      </c>
      <c r="B48" s="25">
        <v>85848</v>
      </c>
    </row>
    <row r="49" spans="1:2" ht="15">
      <c r="A49" s="79" t="s">
        <v>3</v>
      </c>
      <c r="B49" s="27">
        <f>SUM(B33:B48)</f>
        <v>76211552</v>
      </c>
    </row>
    <row r="50" spans="1:2" ht="15">
      <c r="A50" s="63"/>
      <c r="B50" s="63"/>
    </row>
    <row r="51" spans="1:2" ht="15">
      <c r="A51" s="26" t="s">
        <v>419</v>
      </c>
      <c r="B51" s="63"/>
    </row>
    <row r="52" spans="1:2" ht="15">
      <c r="A52" s="63"/>
      <c r="B52" s="63"/>
    </row>
    <row r="53" spans="1:2" ht="15">
      <c r="A53" s="77" t="s">
        <v>1</v>
      </c>
      <c r="B53" s="77" t="s">
        <v>178</v>
      </c>
    </row>
    <row r="54" spans="1:5" ht="56.25" customHeight="1">
      <c r="A54" s="76" t="s">
        <v>191</v>
      </c>
      <c r="B54" s="25">
        <v>1957500</v>
      </c>
      <c r="C54" s="74"/>
      <c r="D54" s="75"/>
      <c r="E54" s="75"/>
    </row>
    <row r="55" spans="1:5" ht="77.25">
      <c r="A55" s="76" t="s">
        <v>192</v>
      </c>
      <c r="B55" s="25">
        <v>891000</v>
      </c>
      <c r="C55" s="74"/>
      <c r="D55" s="75"/>
      <c r="E55" s="75"/>
    </row>
    <row r="56" spans="1:5" ht="39">
      <c r="A56" s="76" t="s">
        <v>193</v>
      </c>
      <c r="B56" s="25">
        <v>1650000</v>
      </c>
      <c r="C56" s="74"/>
      <c r="D56" s="75"/>
      <c r="E56" s="75"/>
    </row>
    <row r="57" spans="1:5" ht="51.75">
      <c r="A57" s="76" t="s">
        <v>194</v>
      </c>
      <c r="B57" s="25">
        <v>19389000</v>
      </c>
      <c r="C57" s="74"/>
      <c r="D57" s="75"/>
      <c r="E57" s="75"/>
    </row>
    <row r="58" spans="1:5" ht="42" customHeight="1">
      <c r="A58" s="76" t="s">
        <v>195</v>
      </c>
      <c r="B58" s="25">
        <v>7140000</v>
      </c>
      <c r="C58" s="74"/>
      <c r="D58" s="75"/>
      <c r="E58" s="75"/>
    </row>
    <row r="59" spans="1:5" ht="26.25">
      <c r="A59" s="76" t="s">
        <v>196</v>
      </c>
      <c r="B59" s="25">
        <v>3520000</v>
      </c>
      <c r="C59" s="74"/>
      <c r="D59" s="75"/>
      <c r="E59" s="75"/>
    </row>
    <row r="60" spans="1:5" ht="64.5">
      <c r="A60" s="76" t="s">
        <v>197</v>
      </c>
      <c r="B60" s="25">
        <v>1760000</v>
      </c>
      <c r="C60" s="74"/>
      <c r="D60" s="75"/>
      <c r="E60" s="75"/>
    </row>
    <row r="61" spans="1:5" ht="26.25">
      <c r="A61" s="76" t="s">
        <v>198</v>
      </c>
      <c r="B61" s="25">
        <v>3520000</v>
      </c>
      <c r="C61" s="74"/>
      <c r="D61" s="75"/>
      <c r="E61" s="75"/>
    </row>
    <row r="62" spans="1:5" ht="26.25">
      <c r="A62" s="76" t="s">
        <v>199</v>
      </c>
      <c r="B62" s="25">
        <v>9900000</v>
      </c>
      <c r="C62" s="74"/>
      <c r="D62" s="75"/>
      <c r="E62" s="75"/>
    </row>
    <row r="63" spans="1:5" ht="26.25">
      <c r="A63" s="76" t="s">
        <v>200</v>
      </c>
      <c r="B63" s="25">
        <v>5038000</v>
      </c>
      <c r="C63" s="74"/>
      <c r="D63" s="75"/>
      <c r="E63" s="75"/>
    </row>
    <row r="64" spans="1:5" ht="37.5" customHeight="1">
      <c r="A64" s="76" t="s">
        <v>201</v>
      </c>
      <c r="B64" s="25">
        <v>1561300</v>
      </c>
      <c r="C64" s="74"/>
      <c r="D64" s="75"/>
      <c r="E64" s="75"/>
    </row>
    <row r="65" spans="1:5" ht="43.5" customHeight="1">
      <c r="A65" s="76" t="s">
        <v>202</v>
      </c>
      <c r="B65" s="25">
        <v>3901091</v>
      </c>
      <c r="C65" s="74"/>
      <c r="D65" s="75"/>
      <c r="E65" s="75"/>
    </row>
    <row r="66" spans="1:5" ht="54.75" customHeight="1">
      <c r="A66" s="76" t="s">
        <v>203</v>
      </c>
      <c r="B66" s="25">
        <v>3608000</v>
      </c>
      <c r="C66" s="74"/>
      <c r="D66" s="75"/>
      <c r="E66" s="75"/>
    </row>
    <row r="67" spans="1:5" ht="39">
      <c r="A67" s="76" t="s">
        <v>204</v>
      </c>
      <c r="B67" s="25">
        <v>2750000</v>
      </c>
      <c r="C67" s="74"/>
      <c r="D67" s="75"/>
      <c r="E67" s="75"/>
    </row>
    <row r="68" spans="1:5" ht="54.75" customHeight="1">
      <c r="A68" s="76" t="s">
        <v>205</v>
      </c>
      <c r="B68" s="25">
        <v>481000</v>
      </c>
      <c r="C68" s="74"/>
      <c r="D68" s="75"/>
      <c r="E68" s="75"/>
    </row>
    <row r="69" spans="1:5" ht="39">
      <c r="A69" s="76" t="s">
        <v>206</v>
      </c>
      <c r="B69" s="25">
        <v>1000000</v>
      </c>
      <c r="C69" s="74"/>
      <c r="D69" s="75"/>
      <c r="E69" s="75"/>
    </row>
    <row r="70" spans="1:5" ht="48" customHeight="1">
      <c r="A70" s="76" t="s">
        <v>207</v>
      </c>
      <c r="B70" s="25">
        <v>4731107</v>
      </c>
      <c r="C70" s="74"/>
      <c r="D70" s="75"/>
      <c r="E70" s="75"/>
    </row>
    <row r="71" spans="1:5" ht="39">
      <c r="A71" s="76" t="s">
        <v>208</v>
      </c>
      <c r="B71" s="25">
        <v>2000000</v>
      </c>
      <c r="C71" s="74"/>
      <c r="D71" s="75"/>
      <c r="E71" s="75"/>
    </row>
    <row r="72" spans="1:5" ht="15">
      <c r="A72" s="76" t="s">
        <v>209</v>
      </c>
      <c r="B72" s="25">
        <v>730000</v>
      </c>
      <c r="C72" s="74"/>
      <c r="D72" s="75"/>
      <c r="E72" s="75"/>
    </row>
    <row r="73" spans="1:5" ht="15">
      <c r="A73" s="76" t="s">
        <v>210</v>
      </c>
      <c r="B73" s="25">
        <v>1646500</v>
      </c>
      <c r="C73" s="74"/>
      <c r="D73" s="75"/>
      <c r="E73" s="75"/>
    </row>
    <row r="74" spans="1:2" ht="15">
      <c r="A74" s="76" t="s">
        <v>5</v>
      </c>
      <c r="B74" s="25">
        <v>7754357</v>
      </c>
    </row>
    <row r="75" spans="1:2" ht="15">
      <c r="A75" s="76" t="s">
        <v>6</v>
      </c>
      <c r="B75" s="25">
        <v>560000</v>
      </c>
    </row>
    <row r="76" spans="1:2" ht="15">
      <c r="A76" s="76" t="s">
        <v>7</v>
      </c>
      <c r="B76" s="25">
        <v>0</v>
      </c>
    </row>
    <row r="77" spans="1:2" ht="15">
      <c r="A77" s="76" t="s">
        <v>8</v>
      </c>
      <c r="B77" s="25">
        <v>74159</v>
      </c>
    </row>
    <row r="78" spans="1:4" ht="15">
      <c r="A78" s="79" t="s">
        <v>3</v>
      </c>
      <c r="B78" s="27">
        <f>SUM(B54:B77)</f>
        <v>85563014</v>
      </c>
      <c r="D78" s="8"/>
    </row>
    <row r="79" spans="1:2" ht="15">
      <c r="A79" s="63"/>
      <c r="B79" s="63"/>
    </row>
    <row r="80" spans="1:2" ht="63.75" customHeight="1">
      <c r="A80" s="32" t="s">
        <v>448</v>
      </c>
      <c r="B80" s="63"/>
    </row>
    <row r="81" spans="1:2" ht="15">
      <c r="A81" s="63"/>
      <c r="B81" s="63"/>
    </row>
    <row r="82" spans="1:2" ht="15">
      <c r="A82" s="77" t="s">
        <v>1</v>
      </c>
      <c r="B82" s="77" t="s">
        <v>178</v>
      </c>
    </row>
    <row r="83" spans="1:2" ht="15">
      <c r="A83" s="28" t="s">
        <v>9</v>
      </c>
      <c r="B83" s="198">
        <v>3977311</v>
      </c>
    </row>
    <row r="84" spans="1:2" ht="15">
      <c r="A84" s="79" t="s">
        <v>3</v>
      </c>
      <c r="B84" s="27">
        <f>SUM(B83:B83)</f>
        <v>3977311</v>
      </c>
    </row>
    <row r="85" spans="1:2" ht="15">
      <c r="A85" s="63"/>
      <c r="B85" s="63"/>
    </row>
    <row r="86" spans="1:2" ht="15">
      <c r="A86" s="63"/>
      <c r="B86" s="63"/>
    </row>
    <row r="87" spans="1:2" ht="15">
      <c r="A87" s="63"/>
      <c r="B87" s="63"/>
    </row>
    <row r="88" spans="1:2" ht="15">
      <c r="A88" s="148" t="s">
        <v>433</v>
      </c>
      <c r="B88" s="63"/>
    </row>
    <row r="89" spans="1:2" ht="15">
      <c r="A89" s="63"/>
      <c r="B89" s="63"/>
    </row>
    <row r="90" spans="1:2" ht="15">
      <c r="A90" s="77" t="s">
        <v>1</v>
      </c>
      <c r="B90" s="77" t="s">
        <v>178</v>
      </c>
    </row>
    <row r="91" spans="1:2" ht="15">
      <c r="A91" s="28" t="s">
        <v>123</v>
      </c>
      <c r="B91" s="25">
        <v>24132436</v>
      </c>
    </row>
    <row r="92" spans="1:2" ht="15">
      <c r="A92" s="28" t="s">
        <v>124</v>
      </c>
      <c r="B92" s="198">
        <v>8849000</v>
      </c>
    </row>
    <row r="93" spans="1:2" ht="15">
      <c r="A93" s="28" t="s">
        <v>125</v>
      </c>
      <c r="B93" s="25">
        <v>3846987</v>
      </c>
    </row>
    <row r="94" spans="1:3" ht="15">
      <c r="A94" s="28" t="s">
        <v>128</v>
      </c>
      <c r="B94" s="25">
        <v>0</v>
      </c>
      <c r="C94" s="21"/>
    </row>
    <row r="95" spans="1:3" ht="15">
      <c r="A95" s="28" t="s">
        <v>129</v>
      </c>
      <c r="B95" s="25">
        <v>0</v>
      </c>
      <c r="C95" s="21"/>
    </row>
    <row r="96" spans="1:3" ht="15">
      <c r="A96" s="28" t="s">
        <v>126</v>
      </c>
      <c r="B96" s="25">
        <f>4694471+5299</f>
        <v>4699770</v>
      </c>
      <c r="C96" s="21"/>
    </row>
    <row r="97" spans="1:3" ht="15">
      <c r="A97" s="28" t="s">
        <v>127</v>
      </c>
      <c r="B97" s="25">
        <v>15776215</v>
      </c>
      <c r="C97" s="21"/>
    </row>
    <row r="98" spans="1:3" ht="15">
      <c r="A98" s="79" t="s">
        <v>11</v>
      </c>
      <c r="B98" s="27">
        <f>SUM(B91:B97)</f>
        <v>57304408</v>
      </c>
      <c r="C98" s="21"/>
    </row>
    <row r="99" spans="1:2" ht="15">
      <c r="A99" s="63"/>
      <c r="B99" s="63"/>
    </row>
    <row r="100" spans="1:2" ht="15">
      <c r="A100" s="148" t="s">
        <v>447</v>
      </c>
      <c r="B100" s="63"/>
    </row>
    <row r="101" spans="1:2" ht="15">
      <c r="A101" s="63"/>
      <c r="B101" s="63"/>
    </row>
    <row r="102" spans="1:2" ht="15">
      <c r="A102" s="77" t="s">
        <v>1</v>
      </c>
      <c r="B102" s="77" t="s">
        <v>178</v>
      </c>
    </row>
    <row r="103" spans="1:2" ht="15">
      <c r="A103" s="28" t="s">
        <v>123</v>
      </c>
      <c r="B103" s="25">
        <v>23663018</v>
      </c>
    </row>
    <row r="104" spans="1:2" ht="15">
      <c r="A104" s="28" t="s">
        <v>124</v>
      </c>
      <c r="B104" s="25">
        <v>6720974</v>
      </c>
    </row>
    <row r="105" spans="1:2" ht="15">
      <c r="A105" s="28" t="s">
        <v>125</v>
      </c>
      <c r="B105" s="25">
        <v>3702174</v>
      </c>
    </row>
    <row r="106" spans="1:2" ht="15">
      <c r="A106" s="28" t="s">
        <v>130</v>
      </c>
      <c r="B106" s="25">
        <f>2022739+230000</f>
        <v>2252739</v>
      </c>
    </row>
    <row r="107" spans="1:2" ht="15">
      <c r="A107" s="28" t="s">
        <v>4</v>
      </c>
      <c r="B107" s="198">
        <f>5321000+917125</f>
        <v>6238125</v>
      </c>
    </row>
    <row r="108" spans="1:2" ht="15">
      <c r="A108" s="28" t="s">
        <v>131</v>
      </c>
      <c r="B108" s="25">
        <f>296500+28000</f>
        <v>324500</v>
      </c>
    </row>
    <row r="109" spans="1:5" ht="15">
      <c r="A109" s="28" t="s">
        <v>127</v>
      </c>
      <c r="B109" s="25">
        <v>23629150</v>
      </c>
      <c r="E109" s="8"/>
    </row>
    <row r="110" spans="1:2" ht="15">
      <c r="A110" s="79" t="s">
        <v>11</v>
      </c>
      <c r="B110" s="27">
        <f>SUM(B103:B109)</f>
        <v>66530680</v>
      </c>
    </row>
    <row r="111" spans="1:2" ht="15">
      <c r="A111" s="63"/>
      <c r="B111" s="63"/>
    </row>
    <row r="112" spans="1:5" ht="15">
      <c r="A112" s="26" t="s">
        <v>420</v>
      </c>
      <c r="B112" s="26"/>
      <c r="E112" s="8"/>
    </row>
    <row r="113" spans="1:5" ht="15">
      <c r="A113" s="26"/>
      <c r="B113" s="26"/>
      <c r="E113" s="8"/>
    </row>
    <row r="114" spans="1:5" ht="15">
      <c r="A114" s="77" t="s">
        <v>1</v>
      </c>
      <c r="B114" s="77" t="s">
        <v>178</v>
      </c>
      <c r="E114" s="8"/>
    </row>
    <row r="115" spans="1:2" ht="15">
      <c r="A115" s="28" t="s">
        <v>5</v>
      </c>
      <c r="B115" s="25">
        <v>3300000</v>
      </c>
    </row>
    <row r="116" spans="1:2" ht="15">
      <c r="A116" s="28" t="s">
        <v>6</v>
      </c>
      <c r="B116" s="25">
        <v>1140000</v>
      </c>
    </row>
    <row r="117" spans="1:2" ht="15">
      <c r="A117" s="28" t="s">
        <v>346</v>
      </c>
      <c r="B117" s="25">
        <v>310800</v>
      </c>
    </row>
    <row r="118" spans="1:4" ht="15">
      <c r="A118" s="79" t="s">
        <v>11</v>
      </c>
      <c r="B118" s="27">
        <f>SUM(B115:B117)</f>
        <v>4750800</v>
      </c>
      <c r="D118" s="8"/>
    </row>
    <row r="119" spans="1:2" ht="15">
      <c r="A119" s="63"/>
      <c r="B119" s="63"/>
    </row>
    <row r="120" spans="1:2" ht="15">
      <c r="A120" s="26" t="s">
        <v>439</v>
      </c>
      <c r="B120" s="63"/>
    </row>
    <row r="121" spans="1:2" ht="15">
      <c r="A121" s="63"/>
      <c r="B121" s="63"/>
    </row>
    <row r="122" spans="1:2" ht="15">
      <c r="A122" s="77" t="s">
        <v>1</v>
      </c>
      <c r="B122" s="77" t="s">
        <v>178</v>
      </c>
    </row>
    <row r="123" spans="1:2" ht="15">
      <c r="A123" s="117" t="s">
        <v>316</v>
      </c>
      <c r="B123" s="122">
        <f>SUM(B124:B131)</f>
        <v>23858266</v>
      </c>
    </row>
    <row r="124" spans="1:2" ht="15">
      <c r="A124" s="118" t="s">
        <v>308</v>
      </c>
      <c r="B124" s="25">
        <v>6806033</v>
      </c>
    </row>
    <row r="125" spans="1:2" ht="15">
      <c r="A125" s="118" t="s">
        <v>309</v>
      </c>
      <c r="B125" s="25">
        <v>11532378</v>
      </c>
    </row>
    <row r="126" spans="1:2" ht="15">
      <c r="A126" s="118" t="s">
        <v>310</v>
      </c>
      <c r="B126" s="25">
        <v>2164635</v>
      </c>
    </row>
    <row r="127" spans="1:2" ht="15">
      <c r="A127" s="118" t="s">
        <v>311</v>
      </c>
      <c r="B127" s="25">
        <v>1803890</v>
      </c>
    </row>
    <row r="128" spans="1:2" ht="15">
      <c r="A128" s="118" t="s">
        <v>312</v>
      </c>
      <c r="B128" s="25">
        <v>829785</v>
      </c>
    </row>
    <row r="129" spans="1:2" ht="15">
      <c r="A129" s="118" t="s">
        <v>313</v>
      </c>
      <c r="B129" s="25">
        <v>721545</v>
      </c>
    </row>
    <row r="130" spans="1:2" ht="15">
      <c r="A130" s="118" t="s">
        <v>314</v>
      </c>
      <c r="B130" s="25">
        <v>0</v>
      </c>
    </row>
    <row r="131" spans="1:2" ht="15">
      <c r="A131" s="118" t="s">
        <v>315</v>
      </c>
      <c r="B131" s="25">
        <v>0</v>
      </c>
    </row>
    <row r="132" spans="1:2" ht="15">
      <c r="A132" s="117" t="s">
        <v>317</v>
      </c>
      <c r="B132" s="122">
        <f>B133</f>
        <v>0</v>
      </c>
    </row>
    <row r="133" spans="1:2" ht="15">
      <c r="A133" s="118" t="s">
        <v>318</v>
      </c>
      <c r="B133" s="25">
        <v>0</v>
      </c>
    </row>
    <row r="134" spans="1:2" ht="15">
      <c r="A134" s="117" t="s">
        <v>319</v>
      </c>
      <c r="B134" s="122">
        <f>SUM(B135:B139)</f>
        <v>2048502</v>
      </c>
    </row>
    <row r="135" spans="1:2" ht="15">
      <c r="A135" s="118" t="s">
        <v>320</v>
      </c>
      <c r="B135" s="25">
        <v>0</v>
      </c>
    </row>
    <row r="136" spans="1:2" ht="15">
      <c r="A136" s="118" t="s">
        <v>321</v>
      </c>
      <c r="B136" s="25">
        <v>292790</v>
      </c>
    </row>
    <row r="137" spans="1:2" ht="15">
      <c r="A137" s="118" t="s">
        <v>322</v>
      </c>
      <c r="B137" s="198">
        <v>587000</v>
      </c>
    </row>
    <row r="138" spans="1:2" ht="25.5">
      <c r="A138" s="118" t="s">
        <v>323</v>
      </c>
      <c r="B138" s="25">
        <v>390000</v>
      </c>
    </row>
    <row r="139" spans="1:2" ht="15">
      <c r="A139" s="118" t="s">
        <v>324</v>
      </c>
      <c r="B139" s="25">
        <v>778712</v>
      </c>
    </row>
    <row r="140" spans="1:2" ht="25.5">
      <c r="A140" s="119" t="s">
        <v>325</v>
      </c>
      <c r="B140" s="122">
        <f>SUM(B141:B145)</f>
        <v>260000</v>
      </c>
    </row>
    <row r="141" spans="1:2" ht="21.75" customHeight="1">
      <c r="A141" s="118" t="s">
        <v>326</v>
      </c>
      <c r="B141" s="25">
        <v>260000</v>
      </c>
    </row>
    <row r="142" spans="1:2" ht="31.5" customHeight="1">
      <c r="A142" s="120" t="s">
        <v>327</v>
      </c>
      <c r="B142" s="25">
        <v>0</v>
      </c>
    </row>
    <row r="143" spans="1:2" ht="38.25">
      <c r="A143" s="120" t="s">
        <v>328</v>
      </c>
      <c r="B143" s="25">
        <v>0</v>
      </c>
    </row>
    <row r="144" spans="1:6" ht="38.25">
      <c r="A144" s="120" t="s">
        <v>329</v>
      </c>
      <c r="B144" s="25">
        <v>0</v>
      </c>
      <c r="F144" s="8"/>
    </row>
    <row r="145" spans="1:2" ht="26.25" thickBot="1">
      <c r="A145" s="121" t="s">
        <v>330</v>
      </c>
      <c r="B145" s="25">
        <v>0</v>
      </c>
    </row>
    <row r="146" spans="1:2" ht="15">
      <c r="A146" s="79" t="s">
        <v>3</v>
      </c>
      <c r="B146" s="45">
        <f>B140+B134+B132+B123-2571</f>
        <v>26164197</v>
      </c>
    </row>
    <row r="147" spans="1:2" ht="15">
      <c r="A147" s="63"/>
      <c r="B147" s="63"/>
    </row>
    <row r="148" spans="1:2" ht="15">
      <c r="A148" s="26" t="s">
        <v>421</v>
      </c>
      <c r="B148" s="63"/>
    </row>
    <row r="149" spans="1:2" ht="15">
      <c r="A149" s="63"/>
      <c r="B149" s="63"/>
    </row>
    <row r="150" spans="1:2" ht="15.75" thickBot="1">
      <c r="A150" s="77" t="s">
        <v>1</v>
      </c>
      <c r="B150" s="77" t="s">
        <v>178</v>
      </c>
    </row>
    <row r="151" spans="1:2" ht="15.75">
      <c r="A151" s="131" t="s">
        <v>83</v>
      </c>
      <c r="B151" s="64"/>
    </row>
    <row r="152" spans="1:2" ht="16.5" thickBot="1">
      <c r="A152" s="132" t="s">
        <v>84</v>
      </c>
      <c r="B152" s="25">
        <v>0</v>
      </c>
    </row>
    <row r="153" spans="1:2" ht="15">
      <c r="A153" s="133" t="s">
        <v>85</v>
      </c>
      <c r="B153" s="16">
        <v>5940500</v>
      </c>
    </row>
    <row r="154" spans="1:2" ht="15">
      <c r="A154" s="134" t="s">
        <v>86</v>
      </c>
      <c r="B154" s="17">
        <v>0</v>
      </c>
    </row>
    <row r="155" spans="1:2" ht="15">
      <c r="A155" s="135" t="s">
        <v>87</v>
      </c>
      <c r="B155" s="18">
        <v>0</v>
      </c>
    </row>
    <row r="156" spans="1:2" ht="15.75" thickBot="1">
      <c r="A156" s="136" t="s">
        <v>12</v>
      </c>
      <c r="B156" s="29">
        <f>SUM(B153:B155)</f>
        <v>5940500</v>
      </c>
    </row>
    <row r="157" spans="1:2" ht="16.5" thickBot="1">
      <c r="A157" s="137" t="s">
        <v>88</v>
      </c>
      <c r="B157" s="66"/>
    </row>
    <row r="158" spans="1:2" ht="15.75" thickBot="1">
      <c r="A158" s="133" t="s">
        <v>89</v>
      </c>
      <c r="B158" s="30">
        <v>13120000</v>
      </c>
    </row>
    <row r="159" spans="1:2" ht="15.75" thickBot="1">
      <c r="A159" s="134" t="s">
        <v>90</v>
      </c>
      <c r="B159" s="30">
        <v>1851750</v>
      </c>
    </row>
    <row r="160" spans="1:2" ht="15">
      <c r="A160" s="134" t="s">
        <v>91</v>
      </c>
      <c r="B160" s="30">
        <v>200000</v>
      </c>
    </row>
    <row r="161" spans="1:2" ht="15">
      <c r="A161" s="138" t="s">
        <v>92</v>
      </c>
      <c r="B161" s="67"/>
    </row>
    <row r="162" spans="1:2" ht="15.75" thickBot="1">
      <c r="A162" s="139"/>
      <c r="B162" s="68"/>
    </row>
    <row r="163" spans="1:2" ht="15.75" thickBot="1">
      <c r="A163" s="140" t="s">
        <v>13</v>
      </c>
      <c r="B163" s="29">
        <f>SUM(B158:B162)</f>
        <v>15171750</v>
      </c>
    </row>
    <row r="164" spans="1:2" ht="15.75" thickBot="1">
      <c r="A164" s="10" t="s">
        <v>93</v>
      </c>
      <c r="B164" s="31">
        <f>B163+B156</f>
        <v>21112250</v>
      </c>
    </row>
    <row r="165" spans="1:2" ht="15.75" thickBot="1">
      <c r="A165" s="11" t="s">
        <v>94</v>
      </c>
      <c r="B165" s="69"/>
    </row>
    <row r="166" spans="1:2" ht="15">
      <c r="A166" s="133" t="s">
        <v>95</v>
      </c>
      <c r="B166" s="16">
        <v>1363000</v>
      </c>
    </row>
    <row r="167" spans="1:2" ht="15">
      <c r="A167" s="134" t="s">
        <v>96</v>
      </c>
      <c r="B167" s="17">
        <v>0</v>
      </c>
    </row>
    <row r="168" spans="1:2" ht="15">
      <c r="A168" s="134" t="s">
        <v>97</v>
      </c>
      <c r="B168" s="17">
        <v>406035</v>
      </c>
    </row>
    <row r="169" spans="1:2" ht="15">
      <c r="A169" s="134" t="s">
        <v>98</v>
      </c>
      <c r="B169" s="17">
        <v>0</v>
      </c>
    </row>
    <row r="170" spans="1:2" ht="15">
      <c r="A170" s="134" t="s">
        <v>99</v>
      </c>
      <c r="B170" s="17">
        <v>1029600</v>
      </c>
    </row>
    <row r="171" spans="1:2" ht="15">
      <c r="A171" s="134" t="s">
        <v>100</v>
      </c>
      <c r="B171" s="17">
        <v>723175</v>
      </c>
    </row>
    <row r="172" spans="1:2" ht="15">
      <c r="A172" s="141" t="s">
        <v>101</v>
      </c>
      <c r="B172" s="17">
        <v>540500</v>
      </c>
    </row>
    <row r="173" spans="1:2" ht="15">
      <c r="A173" s="134" t="s">
        <v>102</v>
      </c>
      <c r="B173" s="17">
        <v>257790</v>
      </c>
    </row>
    <row r="174" spans="1:2" ht="15">
      <c r="A174" s="134" t="s">
        <v>103</v>
      </c>
      <c r="B174" s="17">
        <v>0</v>
      </c>
    </row>
    <row r="175" spans="1:2" ht="15">
      <c r="A175" s="134" t="s">
        <v>104</v>
      </c>
      <c r="B175" s="17">
        <v>200000</v>
      </c>
    </row>
    <row r="176" spans="1:2" ht="15">
      <c r="A176" s="134" t="s">
        <v>105</v>
      </c>
      <c r="B176" s="17">
        <v>1340360</v>
      </c>
    </row>
    <row r="177" spans="1:2" ht="30">
      <c r="A177" s="134" t="s">
        <v>348</v>
      </c>
      <c r="B177" s="17">
        <v>590300</v>
      </c>
    </row>
    <row r="178" spans="1:2" ht="15">
      <c r="A178" s="134" t="s">
        <v>106</v>
      </c>
      <c r="B178" s="17">
        <v>1010000</v>
      </c>
    </row>
    <row r="179" spans="1:2" ht="15">
      <c r="A179" s="134" t="s">
        <v>107</v>
      </c>
      <c r="B179" s="17">
        <v>390000</v>
      </c>
    </row>
    <row r="180" spans="1:2" ht="15">
      <c r="A180" s="134" t="s">
        <v>108</v>
      </c>
      <c r="B180" s="17">
        <v>816600</v>
      </c>
    </row>
    <row r="181" spans="1:2" ht="15">
      <c r="A181" s="134" t="s">
        <v>109</v>
      </c>
      <c r="B181" s="17">
        <v>200350</v>
      </c>
    </row>
    <row r="182" spans="1:2" ht="15">
      <c r="A182" s="134" t="s">
        <v>110</v>
      </c>
      <c r="B182" s="17">
        <v>886491</v>
      </c>
    </row>
    <row r="183" spans="1:2" ht="15.75" thickBot="1">
      <c r="A183" s="139"/>
      <c r="B183" s="17">
        <f>A183*655.957</f>
        <v>0</v>
      </c>
    </row>
    <row r="184" spans="1:2" ht="15.75" thickBot="1">
      <c r="A184" s="12" t="s">
        <v>111</v>
      </c>
      <c r="B184" s="146">
        <f>SUM(B166:B182)</f>
        <v>9754201</v>
      </c>
    </row>
    <row r="185" spans="1:2" ht="15.75" thickBot="1">
      <c r="A185" s="13" t="s">
        <v>112</v>
      </c>
      <c r="B185" s="65"/>
    </row>
    <row r="186" spans="1:2" ht="15.75" thickBot="1">
      <c r="A186" s="14" t="s">
        <v>113</v>
      </c>
      <c r="B186" s="70"/>
    </row>
    <row r="187" spans="1:2" ht="15">
      <c r="A187" s="142" t="s">
        <v>114</v>
      </c>
      <c r="B187" s="19">
        <v>1573800</v>
      </c>
    </row>
    <row r="188" spans="1:2" ht="15">
      <c r="A188" s="143" t="s">
        <v>115</v>
      </c>
      <c r="B188" s="19">
        <v>1573800</v>
      </c>
    </row>
    <row r="189" spans="1:2" ht="15">
      <c r="A189" s="143" t="s">
        <v>116</v>
      </c>
      <c r="B189" s="19">
        <v>4009212</v>
      </c>
    </row>
    <row r="190" spans="1:2" ht="15">
      <c r="A190" s="143" t="s">
        <v>117</v>
      </c>
      <c r="B190" s="19">
        <v>3600012</v>
      </c>
    </row>
    <row r="191" spans="1:7" ht="15.75" thickBot="1">
      <c r="A191" s="144"/>
      <c r="B191" s="19">
        <v>0</v>
      </c>
      <c r="G191" s="20"/>
    </row>
    <row r="192" spans="1:2" ht="16.5" thickBot="1">
      <c r="A192" s="145" t="s">
        <v>118</v>
      </c>
      <c r="B192" s="146">
        <f>SUM(B187:B190)</f>
        <v>10756824</v>
      </c>
    </row>
    <row r="193" ht="15.75" thickBot="1">
      <c r="B193" s="70"/>
    </row>
    <row r="194" spans="1:7" ht="16.5" thickBot="1">
      <c r="A194" s="15" t="s">
        <v>119</v>
      </c>
      <c r="B194" s="147">
        <f>B192+B184+B164</f>
        <v>41623275</v>
      </c>
      <c r="G194" s="20"/>
    </row>
    <row r="195" spans="1:7" ht="15">
      <c r="A195" s="63"/>
      <c r="B195" s="63"/>
      <c r="G195" s="20"/>
    </row>
    <row r="196" spans="1:2" ht="64.5">
      <c r="A196" s="32" t="s">
        <v>422</v>
      </c>
      <c r="B196" s="63"/>
    </row>
    <row r="197" spans="1:2" ht="15">
      <c r="A197" s="63"/>
      <c r="B197" s="63"/>
    </row>
    <row r="198" spans="1:2" ht="15">
      <c r="A198" s="77" t="s">
        <v>1</v>
      </c>
      <c r="B198" s="77" t="s">
        <v>178</v>
      </c>
    </row>
    <row r="199" spans="1:2" ht="15">
      <c r="A199" s="22" t="s">
        <v>179</v>
      </c>
      <c r="B199" s="25">
        <v>0</v>
      </c>
    </row>
    <row r="200" spans="1:2" ht="15">
      <c r="A200" s="22" t="s">
        <v>180</v>
      </c>
      <c r="B200" s="25">
        <v>0</v>
      </c>
    </row>
    <row r="201" spans="1:2" ht="15">
      <c r="A201" s="22" t="s">
        <v>180</v>
      </c>
      <c r="B201" s="25">
        <v>0</v>
      </c>
    </row>
    <row r="202" spans="1:2" ht="15">
      <c r="A202" s="22" t="s">
        <v>351</v>
      </c>
      <c r="B202" s="25">
        <v>311050</v>
      </c>
    </row>
    <row r="203" spans="1:2" ht="15">
      <c r="A203" s="22" t="s">
        <v>181</v>
      </c>
      <c r="B203" s="25">
        <v>0</v>
      </c>
    </row>
    <row r="204" spans="1:8" ht="15">
      <c r="A204" s="22" t="s">
        <v>181</v>
      </c>
      <c r="B204" s="25">
        <v>0</v>
      </c>
      <c r="E204" s="55"/>
      <c r="F204" s="55"/>
      <c r="G204" s="55"/>
      <c r="H204" s="55"/>
    </row>
    <row r="205" spans="1:8" ht="15">
      <c r="A205" s="22" t="s">
        <v>182</v>
      </c>
      <c r="B205" s="25">
        <v>175000</v>
      </c>
      <c r="E205" s="55"/>
      <c r="F205" s="55"/>
      <c r="G205" s="55"/>
      <c r="H205" s="55"/>
    </row>
    <row r="206" spans="1:8" ht="15">
      <c r="A206" s="22" t="s">
        <v>183</v>
      </c>
      <c r="B206" s="25">
        <v>2150000</v>
      </c>
      <c r="E206" s="55"/>
      <c r="F206" s="55"/>
      <c r="G206" s="55"/>
      <c r="H206" s="55"/>
    </row>
    <row r="207" spans="1:8" ht="15">
      <c r="A207" s="22" t="s">
        <v>184</v>
      </c>
      <c r="B207" s="25">
        <v>8430500</v>
      </c>
      <c r="E207" s="55"/>
      <c r="F207" s="55"/>
      <c r="G207" s="55"/>
      <c r="H207" s="55"/>
    </row>
    <row r="208" spans="1:8" ht="15">
      <c r="A208" s="22" t="s">
        <v>185</v>
      </c>
      <c r="B208" s="25">
        <v>6604250</v>
      </c>
      <c r="D208" s="8"/>
      <c r="E208" s="55"/>
      <c r="F208" s="55"/>
      <c r="G208" s="55"/>
      <c r="H208" s="55"/>
    </row>
    <row r="209" spans="1:8" ht="15">
      <c r="A209" s="22" t="s">
        <v>186</v>
      </c>
      <c r="B209" s="25">
        <v>1575000</v>
      </c>
      <c r="D209" s="8"/>
      <c r="E209" s="55"/>
      <c r="F209" s="55"/>
      <c r="G209" s="55"/>
      <c r="H209" s="55"/>
    </row>
    <row r="210" spans="1:8" ht="15">
      <c r="A210" s="22" t="s">
        <v>186</v>
      </c>
      <c r="B210" s="25">
        <v>1575000</v>
      </c>
      <c r="D210" s="8"/>
      <c r="E210" s="55"/>
      <c r="F210" s="55"/>
      <c r="G210" s="55"/>
      <c r="H210" s="55"/>
    </row>
    <row r="211" spans="1:8" ht="15">
      <c r="A211" s="22" t="s">
        <v>187</v>
      </c>
      <c r="B211" s="25">
        <v>450000</v>
      </c>
      <c r="D211" s="8"/>
      <c r="E211" s="55"/>
      <c r="F211" s="55"/>
      <c r="G211" s="55"/>
      <c r="H211" s="55"/>
    </row>
    <row r="212" spans="1:8" ht="15">
      <c r="A212" s="22" t="s">
        <v>187</v>
      </c>
      <c r="B212" s="25">
        <v>450000</v>
      </c>
      <c r="D212" s="8"/>
      <c r="E212" s="55"/>
      <c r="F212" s="55"/>
      <c r="G212" s="55"/>
      <c r="H212" s="55"/>
    </row>
    <row r="213" spans="1:8" ht="15">
      <c r="A213" s="22" t="s">
        <v>188</v>
      </c>
      <c r="B213" s="25">
        <v>225000</v>
      </c>
      <c r="D213" s="8"/>
      <c r="E213" s="55"/>
      <c r="F213" s="55"/>
      <c r="G213" s="55"/>
      <c r="H213" s="55"/>
    </row>
    <row r="214" spans="1:8" ht="15.75" thickBot="1">
      <c r="A214" s="149" t="s">
        <v>189</v>
      </c>
      <c r="B214" s="25">
        <v>750000</v>
      </c>
      <c r="D214" s="8"/>
      <c r="E214" s="55"/>
      <c r="F214" s="55"/>
      <c r="G214" s="55"/>
      <c r="H214" s="55"/>
    </row>
    <row r="215" spans="1:4" ht="15.75" thickBot="1">
      <c r="A215" s="150" t="s">
        <v>11</v>
      </c>
      <c r="B215" s="151">
        <f>SUM(B199:B214)</f>
        <v>22695800</v>
      </c>
      <c r="D215" s="8"/>
    </row>
    <row r="218" spans="1:2" ht="15">
      <c r="A218" s="71"/>
      <c r="B218" s="63"/>
    </row>
    <row r="219" spans="1:2" ht="15">
      <c r="A219" s="32" t="s">
        <v>423</v>
      </c>
      <c r="B219" s="26"/>
    </row>
    <row r="220" spans="1:2" ht="15">
      <c r="A220" s="26"/>
      <c r="B220" s="26"/>
    </row>
    <row r="221" spans="1:2" ht="15">
      <c r="A221" s="77" t="s">
        <v>1</v>
      </c>
      <c r="B221" s="77" t="s">
        <v>178</v>
      </c>
    </row>
    <row r="222" spans="1:2" ht="15">
      <c r="A222" s="33" t="s">
        <v>332</v>
      </c>
      <c r="B222" s="25">
        <v>3173000</v>
      </c>
    </row>
    <row r="223" spans="1:2" ht="15">
      <c r="A223" s="5" t="s">
        <v>333</v>
      </c>
      <c r="B223" s="25">
        <v>1055000</v>
      </c>
    </row>
    <row r="224" spans="1:2" ht="15">
      <c r="A224" s="5" t="s">
        <v>334</v>
      </c>
      <c r="B224" s="198">
        <v>3590000</v>
      </c>
    </row>
    <row r="225" spans="1:2" ht="15">
      <c r="A225" s="33" t="s">
        <v>291</v>
      </c>
      <c r="B225" s="25">
        <v>4860000</v>
      </c>
    </row>
    <row r="226" spans="1:2" ht="15">
      <c r="A226" s="33" t="s">
        <v>335</v>
      </c>
      <c r="B226" s="25">
        <v>1046100</v>
      </c>
    </row>
    <row r="227" spans="1:2" ht="15">
      <c r="A227" s="5" t="s">
        <v>336</v>
      </c>
      <c r="B227" s="25">
        <v>167000</v>
      </c>
    </row>
    <row r="228" spans="1:2" ht="15">
      <c r="A228" s="128" t="s">
        <v>342</v>
      </c>
      <c r="B228" s="25">
        <v>2060715</v>
      </c>
    </row>
    <row r="229" spans="1:2" ht="15">
      <c r="A229" s="5" t="s">
        <v>337</v>
      </c>
      <c r="B229" s="25">
        <v>80000</v>
      </c>
    </row>
    <row r="230" spans="1:2" ht="15">
      <c r="A230" s="5" t="s">
        <v>338</v>
      </c>
      <c r="B230" s="25">
        <v>249850</v>
      </c>
    </row>
    <row r="231" spans="1:2" ht="15">
      <c r="A231" s="5" t="s">
        <v>339</v>
      </c>
      <c r="B231" s="25">
        <v>2160000</v>
      </c>
    </row>
    <row r="232" spans="1:2" ht="15">
      <c r="A232" s="5" t="s">
        <v>340</v>
      </c>
      <c r="B232" s="25">
        <v>230000</v>
      </c>
    </row>
    <row r="233" spans="1:2" ht="15">
      <c r="A233" s="5" t="s">
        <v>341</v>
      </c>
      <c r="B233" s="25">
        <v>70500</v>
      </c>
    </row>
    <row r="234" spans="1:5" ht="15">
      <c r="A234" s="126" t="s">
        <v>159</v>
      </c>
      <c r="B234" s="127">
        <f>SUM(B222:B233)</f>
        <v>18742165</v>
      </c>
      <c r="E234" s="8"/>
    </row>
    <row r="235" spans="1:2" ht="15">
      <c r="A235" s="71"/>
      <c r="B235" s="63"/>
    </row>
    <row r="236" spans="1:2" ht="15">
      <c r="A236" s="71"/>
      <c r="B236" s="63"/>
    </row>
    <row r="237" spans="1:2" ht="15">
      <c r="A237" s="32" t="s">
        <v>424</v>
      </c>
      <c r="B237" s="63"/>
    </row>
    <row r="238" spans="1:2" ht="15">
      <c r="A238" s="63"/>
      <c r="B238" s="63"/>
    </row>
    <row r="239" spans="1:2" ht="15">
      <c r="A239" s="77" t="s">
        <v>1</v>
      </c>
      <c r="B239" s="77" t="s">
        <v>178</v>
      </c>
    </row>
    <row r="240" spans="1:2" ht="15">
      <c r="A240" s="106" t="s">
        <v>263</v>
      </c>
      <c r="B240" s="178">
        <f>B241</f>
        <v>5801440</v>
      </c>
    </row>
    <row r="241" spans="1:2" ht="15">
      <c r="A241" s="105" t="s">
        <v>406</v>
      </c>
      <c r="B241" s="184">
        <v>5801440</v>
      </c>
    </row>
    <row r="242" spans="1:2" ht="15">
      <c r="A242" s="106" t="s">
        <v>265</v>
      </c>
      <c r="B242" s="178">
        <f>B243</f>
        <v>1522204</v>
      </c>
    </row>
    <row r="243" spans="1:2" ht="15">
      <c r="A243" s="105" t="s">
        <v>403</v>
      </c>
      <c r="B243" s="184">
        <v>1522204</v>
      </c>
    </row>
    <row r="244" spans="1:2" ht="15">
      <c r="A244" s="111" t="s">
        <v>404</v>
      </c>
      <c r="B244" s="178">
        <f>B245</f>
        <v>0</v>
      </c>
    </row>
    <row r="245" spans="1:2" ht="15">
      <c r="A245" s="105" t="s">
        <v>404</v>
      </c>
      <c r="B245" s="104">
        <v>0</v>
      </c>
    </row>
    <row r="246" spans="1:2" ht="15">
      <c r="A246" s="111" t="s">
        <v>266</v>
      </c>
      <c r="B246" s="178">
        <f>B247</f>
        <v>2255000</v>
      </c>
    </row>
    <row r="247" spans="1:2" ht="15">
      <c r="A247" s="105" t="s">
        <v>407</v>
      </c>
      <c r="B247" s="199">
        <v>2255000</v>
      </c>
    </row>
    <row r="248" spans="1:2" ht="15">
      <c r="A248" s="111" t="s">
        <v>405</v>
      </c>
      <c r="B248" s="178">
        <f>B249</f>
        <v>0</v>
      </c>
    </row>
    <row r="249" spans="1:2" ht="15">
      <c r="A249" s="105" t="s">
        <v>405</v>
      </c>
      <c r="B249" s="104">
        <v>0</v>
      </c>
    </row>
    <row r="250" spans="1:2" ht="15">
      <c r="A250" s="111" t="s">
        <v>267</v>
      </c>
      <c r="B250" s="178">
        <f>B251</f>
        <v>3192081</v>
      </c>
    </row>
    <row r="251" spans="1:2" ht="15">
      <c r="A251" s="105" t="s">
        <v>408</v>
      </c>
      <c r="B251" s="184">
        <v>3192081</v>
      </c>
    </row>
    <row r="252" spans="1:2" ht="15">
      <c r="A252" s="111" t="s">
        <v>409</v>
      </c>
      <c r="B252" s="178">
        <v>0</v>
      </c>
    </row>
    <row r="253" spans="1:2" ht="15">
      <c r="A253" s="105" t="s">
        <v>409</v>
      </c>
      <c r="B253" s="104">
        <v>0</v>
      </c>
    </row>
    <row r="254" spans="1:2" ht="15">
      <c r="A254" s="111" t="s">
        <v>11</v>
      </c>
      <c r="B254" s="178">
        <f>+B250+B246+B244+B242+B240+B252</f>
        <v>12770725</v>
      </c>
    </row>
    <row r="255" spans="1:2" ht="15">
      <c r="A255" s="71"/>
      <c r="B255" s="63"/>
    </row>
    <row r="256" spans="1:2" ht="15">
      <c r="A256" s="71"/>
      <c r="B256" s="63"/>
    </row>
    <row r="257" spans="1:2" ht="15">
      <c r="A257" s="71"/>
      <c r="B257" s="63"/>
    </row>
    <row r="258" spans="1:2" ht="15">
      <c r="A258" s="71"/>
      <c r="B258" s="63"/>
    </row>
    <row r="259" spans="1:2" ht="15">
      <c r="A259" s="71"/>
      <c r="B259" s="63"/>
    </row>
    <row r="260" spans="1:2" ht="15">
      <c r="A260" s="71"/>
      <c r="B260" s="63"/>
    </row>
    <row r="261" spans="1:2" ht="15">
      <c r="A261" s="71"/>
      <c r="B261" s="63"/>
    </row>
    <row r="262" spans="1:2" ht="15">
      <c r="A262" s="71"/>
      <c r="B262" s="63"/>
    </row>
    <row r="263" spans="1:2" ht="15">
      <c r="A263" s="71"/>
      <c r="B263" s="63"/>
    </row>
    <row r="264" spans="1:2" ht="15">
      <c r="A264" s="71"/>
      <c r="B264" s="63"/>
    </row>
    <row r="265" spans="1:2" ht="15">
      <c r="A265" s="71"/>
      <c r="B265" s="63"/>
    </row>
    <row r="266" spans="1:2" ht="39">
      <c r="A266" s="32" t="s">
        <v>177</v>
      </c>
      <c r="B266" s="63"/>
    </row>
    <row r="267" spans="1:2" ht="15">
      <c r="A267" s="63"/>
      <c r="B267" s="63"/>
    </row>
    <row r="268" spans="1:2" ht="15">
      <c r="A268" s="77" t="s">
        <v>1</v>
      </c>
      <c r="B268" s="77" t="s">
        <v>178</v>
      </c>
    </row>
    <row r="269" spans="1:2" ht="15">
      <c r="A269" s="73"/>
      <c r="B269" s="62"/>
    </row>
    <row r="270" spans="1:2" ht="63.75">
      <c r="A270" s="35" t="s">
        <v>229</v>
      </c>
      <c r="B270" s="37">
        <v>1278750</v>
      </c>
    </row>
    <row r="271" spans="1:2" ht="38.25">
      <c r="A271" s="35" t="s">
        <v>230</v>
      </c>
      <c r="B271" s="37">
        <v>1980000</v>
      </c>
    </row>
    <row r="272" spans="1:2" ht="25.5">
      <c r="A272" s="35" t="s">
        <v>231</v>
      </c>
      <c r="B272" s="200">
        <v>1980000</v>
      </c>
    </row>
    <row r="273" spans="1:2" ht="51">
      <c r="A273" s="35" t="s">
        <v>232</v>
      </c>
      <c r="B273" s="38">
        <v>1320000</v>
      </c>
    </row>
    <row r="274" spans="1:2" ht="38.25">
      <c r="A274" s="35" t="s">
        <v>233</v>
      </c>
      <c r="B274" s="39">
        <v>0</v>
      </c>
    </row>
    <row r="275" spans="1:2" ht="51">
      <c r="A275" s="80" t="s">
        <v>234</v>
      </c>
      <c r="B275" s="40">
        <v>900000</v>
      </c>
    </row>
    <row r="276" spans="1:2" ht="15">
      <c r="A276" s="41" t="s">
        <v>10</v>
      </c>
      <c r="B276" s="42">
        <f>SUM(B270:B275)</f>
        <v>7458750</v>
      </c>
    </row>
    <row r="277" spans="1:2" ht="51">
      <c r="A277" s="35" t="s">
        <v>235</v>
      </c>
      <c r="B277" s="95">
        <v>990000</v>
      </c>
    </row>
    <row r="278" spans="1:2" ht="38.25">
      <c r="A278" s="80" t="s">
        <v>236</v>
      </c>
      <c r="B278" s="96">
        <v>1980000</v>
      </c>
    </row>
    <row r="279" spans="1:2" ht="15">
      <c r="A279" s="81" t="s">
        <v>161</v>
      </c>
      <c r="B279" s="97">
        <v>0</v>
      </c>
    </row>
    <row r="280" spans="1:2" ht="33.75">
      <c r="A280" s="82" t="s">
        <v>237</v>
      </c>
      <c r="B280" s="95">
        <v>150000</v>
      </c>
    </row>
    <row r="281" spans="1:2" ht="15">
      <c r="A281" s="83" t="s">
        <v>162</v>
      </c>
      <c r="B281" s="95">
        <v>250000</v>
      </c>
    </row>
    <row r="282" spans="1:2" ht="15">
      <c r="A282" s="83" t="s">
        <v>163</v>
      </c>
      <c r="B282" s="95">
        <v>65000</v>
      </c>
    </row>
    <row r="283" spans="1:2" ht="22.5">
      <c r="A283" s="83" t="s">
        <v>238</v>
      </c>
      <c r="B283" s="95">
        <v>0</v>
      </c>
    </row>
    <row r="284" spans="1:2" ht="15">
      <c r="A284" s="41" t="s">
        <v>10</v>
      </c>
      <c r="B284" s="42">
        <f>SUM(B277:B283)</f>
        <v>3435000</v>
      </c>
    </row>
    <row r="285" spans="1:2" ht="25.5">
      <c r="A285" s="35" t="s">
        <v>239</v>
      </c>
      <c r="B285" s="37">
        <v>1155000</v>
      </c>
    </row>
    <row r="286" spans="1:2" ht="15">
      <c r="A286" s="84" t="s">
        <v>240</v>
      </c>
      <c r="B286" s="38">
        <v>1155000</v>
      </c>
    </row>
    <row r="287" spans="1:2" ht="25.5">
      <c r="A287" s="35" t="s">
        <v>241</v>
      </c>
      <c r="B287" s="38">
        <v>1155000</v>
      </c>
    </row>
    <row r="288" spans="1:2" ht="25.5">
      <c r="A288" s="35" t="s">
        <v>242</v>
      </c>
      <c r="B288" s="40">
        <v>1155000</v>
      </c>
    </row>
    <row r="289" spans="1:2" ht="25.5">
      <c r="A289" s="35" t="s">
        <v>243</v>
      </c>
      <c r="B289" s="40">
        <v>1856250</v>
      </c>
    </row>
    <row r="290" spans="1:2" ht="15">
      <c r="A290" s="41" t="s">
        <v>10</v>
      </c>
      <c r="B290" s="42">
        <f>SUM(B285:B289)</f>
        <v>6476250</v>
      </c>
    </row>
    <row r="291" spans="1:2" ht="25.5">
      <c r="A291" s="85" t="s">
        <v>244</v>
      </c>
      <c r="B291" s="37">
        <v>825000</v>
      </c>
    </row>
    <row r="292" spans="1:2" ht="64.5">
      <c r="A292" s="86" t="s">
        <v>245</v>
      </c>
      <c r="B292" s="37">
        <v>825000</v>
      </c>
    </row>
    <row r="293" spans="1:2" ht="38.25">
      <c r="A293" s="87" t="s">
        <v>246</v>
      </c>
      <c r="B293" s="37">
        <v>1540000</v>
      </c>
    </row>
    <row r="294" spans="1:2" ht="38.25">
      <c r="A294" s="88" t="s">
        <v>247</v>
      </c>
      <c r="B294" s="38">
        <v>1980000</v>
      </c>
    </row>
    <row r="295" spans="1:2" ht="63.75">
      <c r="A295" s="87" t="s">
        <v>248</v>
      </c>
      <c r="B295" s="38">
        <v>1800000</v>
      </c>
    </row>
    <row r="296" spans="1:2" ht="15">
      <c r="A296" s="41" t="s">
        <v>10</v>
      </c>
      <c r="B296" s="42">
        <f>SUM(B291:B295)</f>
        <v>6970000</v>
      </c>
    </row>
    <row r="297" spans="1:2" ht="63.75">
      <c r="A297" s="89" t="s">
        <v>245</v>
      </c>
      <c r="B297" s="37">
        <v>200000</v>
      </c>
    </row>
    <row r="298" spans="1:2" ht="60">
      <c r="A298" s="90" t="s">
        <v>249</v>
      </c>
      <c r="B298" s="37">
        <v>1100000</v>
      </c>
    </row>
    <row r="299" spans="1:2" ht="15">
      <c r="A299" s="41" t="s">
        <v>10</v>
      </c>
      <c r="B299" s="42">
        <f>B297+B298</f>
        <v>1300000</v>
      </c>
    </row>
    <row r="300" spans="1:2" ht="15">
      <c r="A300" s="72"/>
      <c r="B300" s="64"/>
    </row>
    <row r="301" spans="1:2" ht="38.25">
      <c r="A301" s="35" t="s">
        <v>250</v>
      </c>
      <c r="B301" s="37">
        <v>407000</v>
      </c>
    </row>
    <row r="302" spans="1:2" ht="38.25">
      <c r="A302" s="35" t="s">
        <v>251</v>
      </c>
      <c r="B302" s="38">
        <v>864000</v>
      </c>
    </row>
    <row r="303" spans="1:2" ht="38.25">
      <c r="A303" s="35" t="s">
        <v>164</v>
      </c>
      <c r="B303" s="38">
        <v>3972000</v>
      </c>
    </row>
    <row r="304" spans="1:2" ht="15">
      <c r="A304" s="41" t="s">
        <v>10</v>
      </c>
      <c r="B304" s="42">
        <f>SUM(B301:B303)</f>
        <v>5243000</v>
      </c>
    </row>
    <row r="305" spans="1:2" ht="15">
      <c r="A305" s="72"/>
      <c r="B305" s="64"/>
    </row>
    <row r="306" spans="1:2" ht="40.5">
      <c r="A306" s="35" t="s">
        <v>252</v>
      </c>
      <c r="B306" s="39">
        <v>2640000</v>
      </c>
    </row>
    <row r="307" spans="1:2" ht="51">
      <c r="A307" s="35" t="s">
        <v>253</v>
      </c>
      <c r="B307" s="39">
        <v>720000</v>
      </c>
    </row>
    <row r="308" spans="1:2" ht="51">
      <c r="A308" s="35" t="s">
        <v>254</v>
      </c>
      <c r="B308" s="39">
        <v>1585000</v>
      </c>
    </row>
    <row r="309" spans="1:2" ht="25.5">
      <c r="A309" s="35" t="s">
        <v>255</v>
      </c>
      <c r="B309" s="39">
        <v>1017500</v>
      </c>
    </row>
    <row r="310" spans="1:2" ht="15">
      <c r="A310" s="72"/>
      <c r="B310" s="64"/>
    </row>
    <row r="311" spans="1:2" ht="15">
      <c r="A311" s="91" t="s">
        <v>165</v>
      </c>
      <c r="B311" s="38">
        <v>2260950</v>
      </c>
    </row>
    <row r="312" spans="1:2" ht="15">
      <c r="A312" s="91" t="s">
        <v>166</v>
      </c>
      <c r="B312" s="38">
        <v>525000</v>
      </c>
    </row>
    <row r="313" spans="1:2" ht="15">
      <c r="A313" s="41" t="s">
        <v>10</v>
      </c>
      <c r="B313" s="42">
        <f>SUM(B306:B312)</f>
        <v>8748450</v>
      </c>
    </row>
    <row r="314" spans="1:2" ht="15.75">
      <c r="A314" s="92" t="s">
        <v>256</v>
      </c>
      <c r="B314" s="64"/>
    </row>
    <row r="315" spans="1:2" ht="15">
      <c r="A315" s="93" t="s">
        <v>167</v>
      </c>
      <c r="B315" s="38">
        <v>105000</v>
      </c>
    </row>
    <row r="316" spans="1:2" ht="15">
      <c r="A316" s="93" t="s">
        <v>168</v>
      </c>
      <c r="B316" s="38">
        <v>940000</v>
      </c>
    </row>
    <row r="317" spans="1:2" ht="15">
      <c r="A317" s="93" t="s">
        <v>169</v>
      </c>
      <c r="B317" s="38">
        <v>943314</v>
      </c>
    </row>
    <row r="318" spans="1:2" ht="15">
      <c r="A318" s="93" t="s">
        <v>170</v>
      </c>
      <c r="B318" s="38">
        <v>720000</v>
      </c>
    </row>
    <row r="319" spans="1:2" ht="15">
      <c r="A319" s="93" t="s">
        <v>171</v>
      </c>
      <c r="B319" s="38">
        <v>427553</v>
      </c>
    </row>
    <row r="320" spans="1:2" ht="15">
      <c r="A320" s="93" t="s">
        <v>172</v>
      </c>
      <c r="B320" s="38">
        <v>596900</v>
      </c>
    </row>
    <row r="321" spans="1:2" ht="15">
      <c r="A321" s="41" t="s">
        <v>10</v>
      </c>
      <c r="B321" s="42">
        <f>SUM(B315:B320)</f>
        <v>3732767</v>
      </c>
    </row>
    <row r="322" spans="1:2" ht="15">
      <c r="A322" s="72"/>
      <c r="B322" s="64"/>
    </row>
    <row r="323" spans="1:2" ht="15.75">
      <c r="A323" s="94" t="s">
        <v>173</v>
      </c>
      <c r="B323" s="64"/>
    </row>
    <row r="324" spans="1:2" ht="15">
      <c r="A324" s="36" t="s">
        <v>257</v>
      </c>
      <c r="B324" s="38">
        <v>3300000</v>
      </c>
    </row>
    <row r="325" spans="1:2" ht="15">
      <c r="A325" s="36" t="s">
        <v>174</v>
      </c>
      <c r="B325" s="38">
        <v>8929234</v>
      </c>
    </row>
    <row r="326" spans="1:2" ht="15">
      <c r="A326" s="41" t="s">
        <v>10</v>
      </c>
      <c r="B326" s="42">
        <f>SUM(B324:B325)</f>
        <v>12229234</v>
      </c>
    </row>
    <row r="327" spans="1:2" ht="15">
      <c r="A327" s="43" t="s">
        <v>175</v>
      </c>
      <c r="B327" s="185">
        <v>1945156</v>
      </c>
    </row>
    <row r="328" spans="1:2" ht="15">
      <c r="A328" s="34" t="s">
        <v>158</v>
      </c>
      <c r="B328" s="98">
        <f>B327+B326+B321+B313+B304+B299+B296+B290+B284+B276+33143</f>
        <v>57571750</v>
      </c>
    </row>
    <row r="329" spans="1:2" ht="15">
      <c r="A329" s="71"/>
      <c r="B329" s="63"/>
    </row>
    <row r="330" spans="1:2" ht="15">
      <c r="A330" s="63"/>
      <c r="B330" s="63"/>
    </row>
    <row r="331" spans="1:2" ht="15">
      <c r="A331" s="26" t="s">
        <v>425</v>
      </c>
      <c r="B331" s="63"/>
    </row>
    <row r="332" spans="1:2" ht="15">
      <c r="A332" s="63"/>
      <c r="B332" s="63"/>
    </row>
    <row r="333" spans="1:4" ht="15">
      <c r="A333" s="77" t="s">
        <v>1</v>
      </c>
      <c r="B333" s="77" t="s">
        <v>178</v>
      </c>
      <c r="D333" s="8"/>
    </row>
    <row r="334" spans="1:4" ht="15">
      <c r="A334" s="28" t="s">
        <v>14</v>
      </c>
      <c r="B334" s="182">
        <v>5700000</v>
      </c>
      <c r="D334" s="8"/>
    </row>
    <row r="335" spans="1:4" ht="15">
      <c r="A335" s="28" t="s">
        <v>15</v>
      </c>
      <c r="B335" s="183">
        <v>7202592</v>
      </c>
      <c r="D335" s="8"/>
    </row>
    <row r="336" spans="1:4" ht="15">
      <c r="A336" s="28" t="s">
        <v>16</v>
      </c>
      <c r="B336" s="183">
        <v>3901296</v>
      </c>
      <c r="C336" s="21"/>
      <c r="D336" s="8"/>
    </row>
    <row r="337" spans="1:4" ht="15">
      <c r="A337" s="28" t="s">
        <v>17</v>
      </c>
      <c r="B337" s="183">
        <v>4201308</v>
      </c>
      <c r="C337" s="21"/>
      <c r="D337" s="8"/>
    </row>
    <row r="338" spans="1:4" ht="15">
      <c r="A338" s="28" t="s">
        <v>258</v>
      </c>
      <c r="B338" s="183">
        <v>1800000</v>
      </c>
      <c r="C338" s="21"/>
      <c r="D338" s="8"/>
    </row>
    <row r="339" spans="1:4" ht="15">
      <c r="A339" s="28" t="s">
        <v>259</v>
      </c>
      <c r="B339" s="183">
        <v>400000</v>
      </c>
      <c r="C339" s="21"/>
      <c r="D339" s="8"/>
    </row>
    <row r="340" spans="1:4" ht="15">
      <c r="A340" s="28" t="s">
        <v>18</v>
      </c>
      <c r="B340" s="183">
        <v>2145000</v>
      </c>
      <c r="C340" s="21"/>
      <c r="D340" s="8"/>
    </row>
    <row r="341" spans="1:4" ht="15">
      <c r="A341" s="28" t="s">
        <v>19</v>
      </c>
      <c r="B341" s="201">
        <v>33775000</v>
      </c>
      <c r="C341" s="21"/>
      <c r="D341" s="8"/>
    </row>
    <row r="342" spans="1:4" ht="15">
      <c r="A342" s="28" t="s">
        <v>20</v>
      </c>
      <c r="B342" s="201">
        <v>13672500</v>
      </c>
      <c r="C342" s="21"/>
      <c r="D342" s="8"/>
    </row>
    <row r="343" spans="1:4" ht="26.25">
      <c r="A343" s="78" t="s">
        <v>260</v>
      </c>
      <c r="B343" s="183">
        <v>887000</v>
      </c>
      <c r="C343" s="21"/>
      <c r="D343" s="8"/>
    </row>
    <row r="344" spans="1:4" ht="26.25">
      <c r="A344" s="78" t="s">
        <v>261</v>
      </c>
      <c r="B344" s="183">
        <v>0</v>
      </c>
      <c r="C344" s="21"/>
      <c r="D344" s="8"/>
    </row>
    <row r="345" spans="1:4" ht="15">
      <c r="A345" s="28" t="s">
        <v>21</v>
      </c>
      <c r="B345" s="183"/>
      <c r="C345" s="21"/>
      <c r="D345" s="8"/>
    </row>
    <row r="346" spans="1:4" ht="15">
      <c r="A346" s="28" t="s">
        <v>22</v>
      </c>
      <c r="B346" s="183">
        <f>3247275+821181</f>
        <v>4068456</v>
      </c>
      <c r="C346" s="21"/>
      <c r="D346" s="8"/>
    </row>
    <row r="347" spans="1:4" ht="15">
      <c r="A347" s="28" t="s">
        <v>23</v>
      </c>
      <c r="B347" s="183">
        <v>2539500</v>
      </c>
      <c r="C347" s="21"/>
      <c r="D347" s="8"/>
    </row>
    <row r="348" spans="1:4" ht="15">
      <c r="A348" s="28" t="s">
        <v>24</v>
      </c>
      <c r="B348" s="183">
        <v>0</v>
      </c>
      <c r="C348" s="21"/>
      <c r="D348" s="8"/>
    </row>
    <row r="349" spans="1:4" ht="26.25">
      <c r="A349" s="78" t="s">
        <v>25</v>
      </c>
      <c r="B349" s="183">
        <v>3241250</v>
      </c>
      <c r="C349" s="21"/>
      <c r="D349" s="8"/>
    </row>
    <row r="350" spans="1:4" ht="26.25">
      <c r="A350" s="78" t="s">
        <v>26</v>
      </c>
      <c r="B350" s="183">
        <v>994254</v>
      </c>
      <c r="C350" s="21"/>
      <c r="D350" s="8"/>
    </row>
    <row r="351" spans="1:4" ht="15">
      <c r="A351" s="28" t="s">
        <v>27</v>
      </c>
      <c r="B351" s="183">
        <v>949834</v>
      </c>
      <c r="C351" s="21"/>
      <c r="D351" s="8"/>
    </row>
    <row r="352" spans="1:5" ht="15">
      <c r="A352" s="99" t="s">
        <v>3</v>
      </c>
      <c r="B352" s="45">
        <f>SUM(B334:B351)</f>
        <v>85477990</v>
      </c>
      <c r="C352" s="196"/>
      <c r="D352" s="202"/>
      <c r="E352" s="8"/>
    </row>
    <row r="353" spans="1:4" ht="15">
      <c r="A353" s="63"/>
      <c r="B353" s="63"/>
      <c r="D353" s="8"/>
    </row>
    <row r="354" spans="1:4" ht="15">
      <c r="A354" s="63"/>
      <c r="B354" s="63"/>
      <c r="D354" s="8"/>
    </row>
    <row r="355" spans="1:4" ht="15">
      <c r="A355" s="26" t="s">
        <v>426</v>
      </c>
      <c r="B355" s="63"/>
      <c r="D355" s="8"/>
    </row>
    <row r="356" spans="1:2" ht="15">
      <c r="A356" s="63"/>
      <c r="B356" s="63"/>
    </row>
    <row r="357" spans="1:2" ht="15.75" thickBot="1">
      <c r="A357" s="77" t="s">
        <v>1</v>
      </c>
      <c r="B357" s="77" t="s">
        <v>178</v>
      </c>
    </row>
    <row r="358" spans="1:5" ht="15">
      <c r="A358" s="100" t="s">
        <v>28</v>
      </c>
      <c r="B358" s="203">
        <v>36899171</v>
      </c>
      <c r="D358" s="8"/>
      <c r="E358" s="8"/>
    </row>
    <row r="359" spans="1:5" ht="15">
      <c r="A359" s="101" t="s">
        <v>29</v>
      </c>
      <c r="B359" s="181">
        <v>3844050</v>
      </c>
      <c r="D359" s="8"/>
      <c r="E359" s="8"/>
    </row>
    <row r="360" spans="1:5" ht="15">
      <c r="A360" s="101" t="s">
        <v>30</v>
      </c>
      <c r="B360" s="181">
        <v>0</v>
      </c>
      <c r="D360" s="8"/>
      <c r="E360" s="8"/>
    </row>
    <row r="361" spans="1:5" ht="15">
      <c r="A361" s="101" t="s">
        <v>31</v>
      </c>
      <c r="B361" s="181">
        <v>51606960</v>
      </c>
      <c r="D361" s="8"/>
      <c r="E361" s="8"/>
    </row>
    <row r="362" spans="1:5" ht="15">
      <c r="A362" s="101" t="s">
        <v>32</v>
      </c>
      <c r="B362" s="181">
        <v>281643</v>
      </c>
      <c r="D362" s="8"/>
      <c r="E362" s="8"/>
    </row>
    <row r="363" spans="1:5" ht="15">
      <c r="A363" s="101" t="s">
        <v>33</v>
      </c>
      <c r="B363" s="181">
        <v>2441448</v>
      </c>
      <c r="D363" s="8"/>
      <c r="E363" s="8"/>
    </row>
    <row r="364" spans="1:5" ht="15">
      <c r="A364" s="79" t="s">
        <v>3</v>
      </c>
      <c r="B364" s="180">
        <f>SUM(B358:B363)</f>
        <v>95073272</v>
      </c>
      <c r="D364" s="8"/>
      <c r="E364" s="8"/>
    </row>
    <row r="365" spans="1:5" ht="15">
      <c r="A365" s="63"/>
      <c r="B365" s="63"/>
      <c r="C365" s="21"/>
      <c r="D365" s="8"/>
      <c r="E365" s="8"/>
    </row>
    <row r="366" spans="1:3" ht="15">
      <c r="A366" s="26" t="s">
        <v>427</v>
      </c>
      <c r="B366" s="63"/>
      <c r="C366" s="8"/>
    </row>
    <row r="367" spans="1:2" ht="15">
      <c r="A367" s="63"/>
      <c r="B367" s="63"/>
    </row>
    <row r="368" spans="1:6" ht="15">
      <c r="A368" s="77" t="s">
        <v>1</v>
      </c>
      <c r="B368" s="77" t="s">
        <v>178</v>
      </c>
      <c r="F368" s="129"/>
    </row>
    <row r="369" spans="1:2" ht="15">
      <c r="A369" s="105" t="s">
        <v>268</v>
      </c>
      <c r="B369" s="25">
        <v>11212500</v>
      </c>
    </row>
    <row r="370" spans="1:5" ht="15">
      <c r="A370" s="105" t="s">
        <v>269</v>
      </c>
      <c r="B370" s="25">
        <v>1000000</v>
      </c>
      <c r="E370" s="8"/>
    </row>
    <row r="371" spans="1:2" ht="15">
      <c r="A371" s="106" t="s">
        <v>270</v>
      </c>
      <c r="B371" s="107">
        <f>SUM(B369:B370)</f>
        <v>12212500</v>
      </c>
    </row>
    <row r="372" spans="1:2" ht="15">
      <c r="A372" s="108" t="s">
        <v>271</v>
      </c>
      <c r="B372" s="25"/>
    </row>
    <row r="373" spans="1:2" ht="15">
      <c r="A373" s="105" t="s">
        <v>272</v>
      </c>
      <c r="B373" s="25">
        <v>97000</v>
      </c>
    </row>
    <row r="374" spans="1:2" ht="15">
      <c r="A374" s="105" t="s">
        <v>273</v>
      </c>
      <c r="B374" s="25">
        <v>375000</v>
      </c>
    </row>
    <row r="375" spans="1:2" ht="15">
      <c r="A375" s="105" t="s">
        <v>274</v>
      </c>
      <c r="B375" s="25">
        <v>56000</v>
      </c>
    </row>
    <row r="376" spans="1:2" ht="15">
      <c r="A376" s="105" t="s">
        <v>275</v>
      </c>
      <c r="B376" s="25">
        <v>164928</v>
      </c>
    </row>
    <row r="377" spans="1:2" ht="15">
      <c r="A377" s="105" t="s">
        <v>276</v>
      </c>
      <c r="B377" s="25">
        <v>80620</v>
      </c>
    </row>
    <row r="378" spans="1:2" ht="15">
      <c r="A378" s="105" t="s">
        <v>277</v>
      </c>
      <c r="B378" s="25">
        <v>187500</v>
      </c>
    </row>
    <row r="379" spans="1:2" ht="15">
      <c r="A379" s="105" t="s">
        <v>278</v>
      </c>
      <c r="B379" s="25">
        <v>75000</v>
      </c>
    </row>
    <row r="380" spans="1:2" ht="15">
      <c r="A380" s="105" t="s">
        <v>279</v>
      </c>
      <c r="B380" s="25">
        <v>150000</v>
      </c>
    </row>
    <row r="381" spans="1:2" ht="15">
      <c r="A381" s="106" t="s">
        <v>280</v>
      </c>
      <c r="B381" s="107">
        <f>SUM(B373:B380)</f>
        <v>1186048</v>
      </c>
    </row>
    <row r="382" spans="1:2" ht="15">
      <c r="A382" s="108" t="s">
        <v>281</v>
      </c>
      <c r="B382" s="25"/>
    </row>
    <row r="383" spans="1:2" ht="15">
      <c r="A383" s="105" t="s">
        <v>132</v>
      </c>
      <c r="B383" s="25">
        <v>3933000</v>
      </c>
    </row>
    <row r="384" spans="1:2" ht="15">
      <c r="A384" s="105" t="s">
        <v>264</v>
      </c>
      <c r="B384" s="25">
        <v>3105000</v>
      </c>
    </row>
    <row r="385" spans="1:2" ht="15">
      <c r="A385" s="105" t="s">
        <v>282</v>
      </c>
      <c r="B385" s="25">
        <v>600000</v>
      </c>
    </row>
    <row r="386" spans="1:2" ht="15">
      <c r="A386" s="105" t="s">
        <v>283</v>
      </c>
      <c r="B386" s="25">
        <v>900000</v>
      </c>
    </row>
    <row r="387" spans="1:2" ht="15">
      <c r="A387" s="105" t="s">
        <v>284</v>
      </c>
      <c r="B387" s="25">
        <v>700000</v>
      </c>
    </row>
    <row r="388" spans="1:2" ht="15">
      <c r="A388" s="105" t="s">
        <v>285</v>
      </c>
      <c r="B388" s="25">
        <v>1066640</v>
      </c>
    </row>
    <row r="389" spans="1:2" ht="15">
      <c r="A389" s="105" t="s">
        <v>286</v>
      </c>
      <c r="B389" s="25">
        <v>0</v>
      </c>
    </row>
    <row r="390" spans="1:2" ht="15">
      <c r="A390" s="105" t="s">
        <v>287</v>
      </c>
      <c r="B390" s="25">
        <v>0</v>
      </c>
    </row>
    <row r="391" spans="1:2" ht="15">
      <c r="A391" s="106" t="s">
        <v>288</v>
      </c>
      <c r="B391" s="107">
        <f>SUM(B383:B390)</f>
        <v>10304640</v>
      </c>
    </row>
    <row r="392" spans="1:2" ht="15">
      <c r="A392" s="108" t="s">
        <v>289</v>
      </c>
      <c r="B392" s="25"/>
    </row>
    <row r="393" spans="1:2" ht="15">
      <c r="A393" s="105" t="s">
        <v>290</v>
      </c>
      <c r="B393" s="25">
        <v>230000</v>
      </c>
    </row>
    <row r="394" spans="1:2" ht="15">
      <c r="A394" s="105" t="s">
        <v>291</v>
      </c>
      <c r="B394" s="25">
        <v>250000</v>
      </c>
    </row>
    <row r="395" spans="1:2" ht="15">
      <c r="A395" s="105" t="s">
        <v>292</v>
      </c>
      <c r="B395" s="25">
        <v>164800</v>
      </c>
    </row>
    <row r="396" spans="1:2" ht="15">
      <c r="A396" s="105" t="s">
        <v>293</v>
      </c>
      <c r="B396" s="25">
        <v>20000</v>
      </c>
    </row>
    <row r="397" spans="1:2" ht="15">
      <c r="A397" s="105" t="s">
        <v>294</v>
      </c>
      <c r="B397" s="25">
        <v>373000</v>
      </c>
    </row>
    <row r="398" spans="1:2" ht="15">
      <c r="A398" s="106" t="s">
        <v>295</v>
      </c>
      <c r="B398" s="188">
        <f>SUM(B393:B397)</f>
        <v>1037800</v>
      </c>
    </row>
    <row r="399" spans="1:2" ht="15">
      <c r="A399" s="109" t="s">
        <v>296</v>
      </c>
      <c r="B399" s="189">
        <f>B398+B391+B381+B371</f>
        <v>24740988</v>
      </c>
    </row>
    <row r="400" spans="1:2" ht="15">
      <c r="A400" s="63"/>
      <c r="B400" s="63"/>
    </row>
    <row r="401" spans="1:2" ht="15">
      <c r="A401" s="63"/>
      <c r="B401" s="63"/>
    </row>
    <row r="402" spans="1:2" ht="15">
      <c r="A402" s="26" t="s">
        <v>436</v>
      </c>
      <c r="B402" s="63"/>
    </row>
    <row r="403" spans="1:2" ht="15">
      <c r="A403" s="63"/>
      <c r="B403" s="63"/>
    </row>
    <row r="404" spans="1:2" ht="15">
      <c r="A404" s="77" t="s">
        <v>1</v>
      </c>
      <c r="B404" s="77" t="s">
        <v>178</v>
      </c>
    </row>
    <row r="405" spans="1:5" ht="38.25">
      <c r="A405" s="112" t="s">
        <v>299</v>
      </c>
      <c r="B405" s="198">
        <v>40687500</v>
      </c>
      <c r="E405" s="8"/>
    </row>
    <row r="406" spans="1:5" ht="77.25">
      <c r="A406" s="113" t="s">
        <v>300</v>
      </c>
      <c r="B406" s="25">
        <v>7403000</v>
      </c>
      <c r="E406" s="8"/>
    </row>
    <row r="407" spans="1:5" ht="26.25">
      <c r="A407" s="114" t="s">
        <v>301</v>
      </c>
      <c r="B407" s="25">
        <v>17477303</v>
      </c>
      <c r="E407" s="8"/>
    </row>
    <row r="408" spans="1:7" ht="26.25">
      <c r="A408" s="113" t="s">
        <v>302</v>
      </c>
      <c r="B408" s="25">
        <v>4605708</v>
      </c>
      <c r="E408" s="8"/>
      <c r="F408" s="8"/>
      <c r="G408" s="8"/>
    </row>
    <row r="409" spans="1:5" ht="26.25">
      <c r="A409" s="113" t="s">
        <v>303</v>
      </c>
      <c r="B409" s="25">
        <v>455845</v>
      </c>
      <c r="E409" s="8"/>
    </row>
    <row r="410" spans="1:5" ht="26.25">
      <c r="A410" s="115" t="s">
        <v>304</v>
      </c>
      <c r="B410" s="25">
        <v>277200</v>
      </c>
      <c r="E410" s="8"/>
    </row>
    <row r="411" spans="1:5" ht="26.25">
      <c r="A411" s="115" t="s">
        <v>305</v>
      </c>
      <c r="B411" s="25">
        <v>1295750</v>
      </c>
      <c r="E411" s="8"/>
    </row>
    <row r="412" spans="1:6" ht="15">
      <c r="A412" s="116" t="s">
        <v>11</v>
      </c>
      <c r="B412" s="27">
        <f>B411+B410+B409+B408+B407+B406+B405</f>
        <v>72202306</v>
      </c>
      <c r="E412" s="8"/>
      <c r="F412" s="8"/>
    </row>
    <row r="413" spans="1:2" ht="15">
      <c r="A413" s="63"/>
      <c r="B413" s="63"/>
    </row>
    <row r="414" spans="1:2" ht="15">
      <c r="A414" s="26" t="s">
        <v>428</v>
      </c>
      <c r="B414" s="63"/>
    </row>
    <row r="415" spans="1:2" ht="15">
      <c r="A415" s="63"/>
      <c r="B415" s="63"/>
    </row>
    <row r="416" spans="1:2" ht="15">
      <c r="A416" s="77" t="s">
        <v>1</v>
      </c>
      <c r="B416" s="77" t="s">
        <v>178</v>
      </c>
    </row>
    <row r="417" spans="1:2" ht="15">
      <c r="A417" s="123" t="s">
        <v>75</v>
      </c>
      <c r="B417" s="25">
        <v>23505617</v>
      </c>
    </row>
    <row r="418" spans="1:2" ht="15">
      <c r="A418" s="124" t="s">
        <v>72</v>
      </c>
      <c r="B418" s="25">
        <v>21520875</v>
      </c>
    </row>
    <row r="419" spans="1:2" ht="15">
      <c r="A419" s="124" t="s">
        <v>73</v>
      </c>
      <c r="B419" s="25">
        <v>700000</v>
      </c>
    </row>
    <row r="420" spans="1:2" ht="15">
      <c r="A420" s="124" t="s">
        <v>74</v>
      </c>
      <c r="B420" s="25">
        <v>14765000</v>
      </c>
    </row>
    <row r="421" spans="1:2" ht="15">
      <c r="A421" s="125" t="s">
        <v>11</v>
      </c>
      <c r="B421" s="27">
        <f>B420+B419+B418+B417</f>
        <v>60491492</v>
      </c>
    </row>
    <row r="422" spans="1:2" ht="15">
      <c r="A422" s="63"/>
      <c r="B422" s="63"/>
    </row>
    <row r="423" spans="1:2" ht="15">
      <c r="A423" s="26" t="s">
        <v>432</v>
      </c>
      <c r="B423" s="26"/>
    </row>
    <row r="424" spans="1:2" ht="15">
      <c r="A424" s="26"/>
      <c r="B424" s="26"/>
    </row>
    <row r="425" spans="1:2" ht="15">
      <c r="A425" s="77" t="s">
        <v>1</v>
      </c>
      <c r="B425" s="77" t="s">
        <v>178</v>
      </c>
    </row>
    <row r="426" spans="1:2" ht="15">
      <c r="A426" s="28" t="s">
        <v>132</v>
      </c>
      <c r="B426" s="25">
        <v>0</v>
      </c>
    </row>
    <row r="427" spans="1:2" ht="15">
      <c r="A427" s="186" t="s">
        <v>133</v>
      </c>
      <c r="B427" s="25">
        <f>673400+18800</f>
        <v>692200</v>
      </c>
    </row>
    <row r="428" spans="1:2" ht="15">
      <c r="A428" s="186" t="s">
        <v>134</v>
      </c>
      <c r="B428" s="25">
        <v>0</v>
      </c>
    </row>
    <row r="429" spans="1:3" ht="15">
      <c r="A429" s="186" t="s">
        <v>135</v>
      </c>
      <c r="B429" s="25">
        <v>0</v>
      </c>
      <c r="C429" s="21"/>
    </row>
    <row r="430" spans="1:3" ht="15">
      <c r="A430" s="186" t="s">
        <v>136</v>
      </c>
      <c r="B430" s="25">
        <v>7490000</v>
      </c>
      <c r="C430" s="21"/>
    </row>
    <row r="431" spans="1:2" ht="15">
      <c r="A431" s="187" t="s">
        <v>76</v>
      </c>
      <c r="B431" s="27">
        <f>SUM(B426:B430)</f>
        <v>8182200</v>
      </c>
    </row>
    <row r="432" spans="1:2" ht="15">
      <c r="A432" s="63"/>
      <c r="B432" s="63"/>
    </row>
    <row r="433" spans="1:2" ht="15">
      <c r="A433" s="26" t="s">
        <v>429</v>
      </c>
      <c r="B433" s="63"/>
    </row>
    <row r="434" spans="1:2" ht="15">
      <c r="A434" s="63"/>
      <c r="B434" s="63"/>
    </row>
    <row r="435" spans="1:2" ht="15">
      <c r="A435" s="77" t="s">
        <v>1</v>
      </c>
      <c r="B435" s="77" t="s">
        <v>178</v>
      </c>
    </row>
    <row r="436" spans="1:2" ht="26.25">
      <c r="A436" s="3" t="s">
        <v>415</v>
      </c>
      <c r="B436" s="28"/>
    </row>
    <row r="437" spans="1:2" ht="15">
      <c r="A437" s="179" t="s">
        <v>413</v>
      </c>
      <c r="B437" s="198">
        <v>90000000</v>
      </c>
    </row>
    <row r="438" spans="1:2" ht="15">
      <c r="A438" s="4" t="s">
        <v>414</v>
      </c>
      <c r="B438" s="25">
        <v>90000000</v>
      </c>
    </row>
    <row r="439" spans="1:2" ht="15">
      <c r="A439" s="99" t="s">
        <v>3</v>
      </c>
      <c r="B439" s="45">
        <f>SUM(B437:B438)</f>
        <v>180000000</v>
      </c>
    </row>
    <row r="440" spans="1:2" ht="15">
      <c r="A440" s="63"/>
      <c r="B440" s="63"/>
    </row>
    <row r="442" spans="1:2" ht="15">
      <c r="A442" s="26" t="s">
        <v>430</v>
      </c>
      <c r="B442" s="63"/>
    </row>
    <row r="443" spans="1:2" ht="15">
      <c r="A443" s="63"/>
      <c r="B443" s="63"/>
    </row>
    <row r="444" spans="1:2" ht="15">
      <c r="A444" s="77" t="s">
        <v>1</v>
      </c>
      <c r="B444" s="77" t="s">
        <v>2</v>
      </c>
    </row>
    <row r="445" spans="1:2" ht="26.25">
      <c r="A445" s="152" t="s">
        <v>354</v>
      </c>
      <c r="B445" s="163"/>
    </row>
    <row r="446" spans="1:2" ht="38.25">
      <c r="A446" s="153" t="s">
        <v>355</v>
      </c>
      <c r="B446" s="163">
        <v>0</v>
      </c>
    </row>
    <row r="447" spans="1:2" ht="63.75">
      <c r="A447" s="153" t="s">
        <v>356</v>
      </c>
      <c r="B447" s="163">
        <v>0</v>
      </c>
    </row>
    <row r="448" spans="1:2" ht="51">
      <c r="A448" s="153" t="s">
        <v>357</v>
      </c>
      <c r="B448" s="164">
        <v>1079500</v>
      </c>
    </row>
    <row r="449" spans="1:2" ht="38.25">
      <c r="A449" s="153" t="s">
        <v>358</v>
      </c>
      <c r="B449" s="164">
        <v>755000</v>
      </c>
    </row>
    <row r="450" spans="1:2" ht="38.25">
      <c r="A450" s="153" t="s">
        <v>359</v>
      </c>
      <c r="B450" s="164">
        <v>1087750</v>
      </c>
    </row>
    <row r="451" spans="1:2" ht="38.25">
      <c r="A451" s="153" t="s">
        <v>360</v>
      </c>
      <c r="B451" s="164">
        <v>1082750</v>
      </c>
    </row>
    <row r="452" spans="1:2" ht="15">
      <c r="A452" s="154" t="s">
        <v>3</v>
      </c>
      <c r="B452" s="165">
        <f>SUM(B446:B451)</f>
        <v>4005000</v>
      </c>
    </row>
    <row r="453" spans="1:2" ht="26.25">
      <c r="A453" s="152" t="s">
        <v>361</v>
      </c>
      <c r="B453" s="166"/>
    </row>
    <row r="454" spans="1:2" ht="25.5">
      <c r="A454" s="153" t="s">
        <v>362</v>
      </c>
      <c r="B454" s="163">
        <v>0</v>
      </c>
    </row>
    <row r="455" spans="1:2" ht="63.75">
      <c r="A455" s="153" t="s">
        <v>363</v>
      </c>
      <c r="B455" s="164">
        <v>500000</v>
      </c>
    </row>
    <row r="456" spans="1:2" ht="63.75">
      <c r="A456" s="153" t="s">
        <v>364</v>
      </c>
      <c r="B456" s="163">
        <v>0</v>
      </c>
    </row>
    <row r="457" spans="1:2" ht="15">
      <c r="A457" s="154" t="s">
        <v>3</v>
      </c>
      <c r="B457" s="165">
        <f>SUM(B454:B456)</f>
        <v>500000</v>
      </c>
    </row>
    <row r="458" spans="1:2" ht="15">
      <c r="A458" s="155" t="s">
        <v>365</v>
      </c>
      <c r="B458" s="166"/>
    </row>
    <row r="459" spans="1:2" ht="51">
      <c r="A459" s="153" t="s">
        <v>366</v>
      </c>
      <c r="B459" s="164">
        <v>946000</v>
      </c>
    </row>
    <row r="460" spans="1:2" ht="15">
      <c r="A460" s="154" t="s">
        <v>3</v>
      </c>
      <c r="B460" s="165">
        <f>SUM(B459:B459)</f>
        <v>946000</v>
      </c>
    </row>
    <row r="461" spans="1:2" ht="39">
      <c r="A461" s="152" t="s">
        <v>367</v>
      </c>
      <c r="B461" s="166"/>
    </row>
    <row r="462" spans="1:2" ht="15">
      <c r="A462" s="153" t="s">
        <v>368</v>
      </c>
      <c r="B462" s="163">
        <v>0</v>
      </c>
    </row>
    <row r="463" spans="1:2" ht="15">
      <c r="A463" s="154" t="s">
        <v>3</v>
      </c>
      <c r="B463" s="165">
        <f>SUM(B462:B462)</f>
        <v>0</v>
      </c>
    </row>
    <row r="464" spans="1:2" ht="15">
      <c r="A464" s="156" t="s">
        <v>369</v>
      </c>
      <c r="B464" s="166"/>
    </row>
    <row r="465" spans="1:2" ht="63.75">
      <c r="A465" s="153" t="s">
        <v>370</v>
      </c>
      <c r="B465" s="167">
        <v>3507476</v>
      </c>
    </row>
    <row r="466" spans="1:2" ht="15">
      <c r="A466" s="154" t="s">
        <v>3</v>
      </c>
      <c r="B466" s="165">
        <f>SUM(B465:B465)</f>
        <v>3507476</v>
      </c>
    </row>
    <row r="467" spans="1:2" ht="15">
      <c r="A467" s="156" t="s">
        <v>371</v>
      </c>
      <c r="B467" s="166"/>
    </row>
    <row r="468" spans="1:2" ht="76.5">
      <c r="A468" s="153" t="s">
        <v>372</v>
      </c>
      <c r="B468" s="167">
        <v>1500000</v>
      </c>
    </row>
    <row r="469" spans="1:2" ht="15">
      <c r="A469" s="154" t="s">
        <v>3</v>
      </c>
      <c r="B469" s="165">
        <f>SUM(B468:B468)</f>
        <v>1500000</v>
      </c>
    </row>
    <row r="470" spans="1:2" ht="51.75">
      <c r="A470" s="152" t="s">
        <v>373</v>
      </c>
      <c r="B470" s="166"/>
    </row>
    <row r="471" spans="1:2" ht="63.75">
      <c r="A471" s="153" t="s">
        <v>374</v>
      </c>
      <c r="B471" s="168">
        <v>996000</v>
      </c>
    </row>
    <row r="472" spans="1:2" ht="15">
      <c r="A472" s="154" t="s">
        <v>3</v>
      </c>
      <c r="B472" s="165">
        <f>SUM(B471:B471)</f>
        <v>996000</v>
      </c>
    </row>
    <row r="473" spans="1:2" ht="76.5">
      <c r="A473" s="153" t="s">
        <v>375</v>
      </c>
      <c r="B473" s="168">
        <v>1193500</v>
      </c>
    </row>
    <row r="474" spans="1:2" ht="15">
      <c r="A474" s="154" t="s">
        <v>3</v>
      </c>
      <c r="B474" s="165">
        <f>SUM(B473:B473)</f>
        <v>1193500</v>
      </c>
    </row>
    <row r="475" spans="1:2" ht="38.25">
      <c r="A475" s="157" t="s">
        <v>376</v>
      </c>
      <c r="B475" s="166"/>
    </row>
    <row r="476" spans="1:2" ht="51">
      <c r="A476" s="153" t="s">
        <v>377</v>
      </c>
      <c r="B476" s="169">
        <v>0</v>
      </c>
    </row>
    <row r="477" spans="1:2" ht="15">
      <c r="A477" s="153" t="s">
        <v>378</v>
      </c>
      <c r="B477" s="169">
        <v>0</v>
      </c>
    </row>
    <row r="478" spans="1:2" ht="15">
      <c r="A478" s="154" t="s">
        <v>3</v>
      </c>
      <c r="B478" s="165">
        <f>SUM(B477:B477)</f>
        <v>0</v>
      </c>
    </row>
    <row r="479" spans="1:2" ht="21" thickBot="1">
      <c r="A479" s="158" t="s">
        <v>379</v>
      </c>
      <c r="B479" s="170">
        <v>101000</v>
      </c>
    </row>
    <row r="480" spans="1:2" ht="15.75" thickBot="1">
      <c r="A480" s="159" t="s">
        <v>380</v>
      </c>
      <c r="B480" s="171">
        <f>SUM(B452+B457+B460+B463+B466+B469+B472+B474+B479)</f>
        <v>12748976</v>
      </c>
    </row>
    <row r="481" spans="1:2" ht="15.75" thickBot="1">
      <c r="A481" s="160" t="s">
        <v>381</v>
      </c>
      <c r="B481" s="172"/>
    </row>
    <row r="482" spans="1:2" ht="15.75" thickBot="1">
      <c r="A482" s="160" t="s">
        <v>382</v>
      </c>
      <c r="B482" s="173">
        <v>460000</v>
      </c>
    </row>
    <row r="483" spans="1:2" ht="15.75" thickBot="1">
      <c r="A483" s="160" t="s">
        <v>383</v>
      </c>
      <c r="B483" s="174"/>
    </row>
    <row r="484" spans="1:2" ht="15.75" thickBot="1">
      <c r="A484" s="160" t="s">
        <v>384</v>
      </c>
      <c r="B484" s="173">
        <v>135000</v>
      </c>
    </row>
    <row r="485" spans="1:2" ht="15.75" thickBot="1">
      <c r="A485" s="160" t="s">
        <v>385</v>
      </c>
      <c r="B485" s="174"/>
    </row>
    <row r="486" spans="1:2" ht="15.75" thickBot="1">
      <c r="A486" s="160" t="s">
        <v>386</v>
      </c>
      <c r="B486" s="173">
        <v>102000</v>
      </c>
    </row>
    <row r="487" spans="1:2" ht="15.75" thickBot="1">
      <c r="A487" s="160" t="s">
        <v>387</v>
      </c>
      <c r="B487" s="174"/>
    </row>
    <row r="488" spans="1:2" ht="15.75" thickBot="1">
      <c r="A488" s="160" t="s">
        <v>388</v>
      </c>
      <c r="B488" s="173">
        <v>374693</v>
      </c>
    </row>
    <row r="489" spans="1:2" ht="15.75" thickBot="1">
      <c r="A489" s="160" t="s">
        <v>389</v>
      </c>
      <c r="B489" s="174"/>
    </row>
    <row r="490" spans="1:2" ht="15.75" thickBot="1">
      <c r="A490" s="160" t="s">
        <v>390</v>
      </c>
      <c r="B490" s="174"/>
    </row>
    <row r="491" spans="1:2" ht="15.75" thickBot="1">
      <c r="A491" s="160" t="s">
        <v>391</v>
      </c>
      <c r="B491" s="174">
        <v>1488000</v>
      </c>
    </row>
    <row r="492" spans="1:2" ht="15.75" thickBot="1">
      <c r="A492" s="160" t="s">
        <v>392</v>
      </c>
      <c r="B492" s="173">
        <v>1146000</v>
      </c>
    </row>
    <row r="493" spans="1:2" ht="15.75" thickBot="1">
      <c r="A493" s="160" t="s">
        <v>393</v>
      </c>
      <c r="B493" s="173">
        <v>1020000</v>
      </c>
    </row>
    <row r="494" spans="1:2" ht="15.75" thickBot="1">
      <c r="A494" s="160" t="s">
        <v>394</v>
      </c>
      <c r="B494" s="173">
        <v>1413891</v>
      </c>
    </row>
    <row r="495" spans="1:2" ht="15.75" thickBot="1">
      <c r="A495" s="160" t="s">
        <v>395</v>
      </c>
      <c r="B495" s="174"/>
    </row>
    <row r="496" spans="1:2" ht="15.75" thickBot="1">
      <c r="A496" s="160" t="s">
        <v>396</v>
      </c>
      <c r="B496" s="173">
        <v>4028648</v>
      </c>
    </row>
    <row r="497" spans="1:2" ht="15.75" thickBot="1">
      <c r="A497" s="160" t="s">
        <v>397</v>
      </c>
      <c r="B497" s="174"/>
    </row>
    <row r="498" spans="1:2" ht="15.75" thickBot="1">
      <c r="A498" s="160" t="s">
        <v>398</v>
      </c>
      <c r="B498" s="173">
        <v>2687988</v>
      </c>
    </row>
    <row r="499" spans="1:2" ht="15.75" thickBot="1">
      <c r="A499" s="160" t="s">
        <v>399</v>
      </c>
      <c r="B499" s="175">
        <v>1564272</v>
      </c>
    </row>
    <row r="500" spans="1:2" ht="15.75" thickBot="1">
      <c r="A500" s="161" t="s">
        <v>400</v>
      </c>
      <c r="B500" s="176">
        <f>SUM(B481:B499)</f>
        <v>14420492</v>
      </c>
    </row>
    <row r="501" spans="1:2" ht="15.75" thickBot="1">
      <c r="A501" s="162" t="s">
        <v>401</v>
      </c>
      <c r="B501" s="177">
        <f>B500+B480</f>
        <v>27169468</v>
      </c>
    </row>
  </sheetData>
  <sheetProtection/>
  <printOptions/>
  <pageMargins left="0.787401575" right="0.787401575" top="0.984251969" bottom="0.984251969" header="0.4921259845" footer="0.4921259845"/>
  <pageSetup horizontalDpi="600" verticalDpi="600" orientation="portrait" paperSize="9" r:id="rId1"/>
  <ignoredErrors>
    <ignoredError sqref="B156 B192" formulaRange="1"/>
  </ignoredErrors>
</worksheet>
</file>

<file path=xl/worksheets/sheet3.xml><?xml version="1.0" encoding="utf-8"?>
<worksheet xmlns="http://schemas.openxmlformats.org/spreadsheetml/2006/main" xmlns:r="http://schemas.openxmlformats.org/officeDocument/2006/relationships">
  <dimension ref="A1:AE46"/>
  <sheetViews>
    <sheetView zoomScalePageLayoutView="0" workbookViewId="0" topLeftCell="A1">
      <selection activeCell="E6" sqref="E6"/>
    </sheetView>
  </sheetViews>
  <sheetFormatPr defaultColWidth="11.421875" defaultRowHeight="15"/>
  <cols>
    <col min="1" max="1" width="6.28125" style="0" customWidth="1"/>
    <col min="4" max="4" width="10.00390625" style="0" customWidth="1"/>
    <col min="5" max="5" width="11.140625" style="0" customWidth="1"/>
    <col min="6" max="6" width="10.00390625" style="9" customWidth="1"/>
    <col min="7" max="7" width="10.28125" style="0" customWidth="1"/>
    <col min="8" max="8" width="10.140625" style="0" customWidth="1"/>
    <col min="9" max="9" width="10.7109375" style="0" customWidth="1"/>
    <col min="10" max="11" width="10.140625" style="9" customWidth="1"/>
    <col min="12" max="12" width="9.7109375" style="9" customWidth="1"/>
    <col min="13" max="13" width="10.421875" style="9" customWidth="1"/>
    <col min="14" max="14" width="8.8515625" style="1" customWidth="1"/>
    <col min="15" max="15" width="10.140625" style="9" customWidth="1"/>
    <col min="16" max="16" width="9.57421875" style="0" customWidth="1"/>
    <col min="17" max="17" width="9.8515625" style="1" customWidth="1"/>
    <col min="18" max="19" width="10.00390625" style="9" customWidth="1"/>
    <col min="20" max="20" width="10.140625" style="0" customWidth="1"/>
    <col min="21" max="21" width="9.00390625" style="0" customWidth="1"/>
    <col min="22" max="22" width="10.00390625" style="6" customWidth="1"/>
    <col min="23" max="23" width="9.57421875" style="6" customWidth="1"/>
    <col min="24" max="24" width="10.7109375" style="6" customWidth="1"/>
    <col min="25" max="25" width="9.28125" style="2" customWidth="1"/>
    <col min="26" max="26" width="9.8515625" style="0" customWidth="1"/>
    <col min="27" max="27" width="8.57421875" style="0" customWidth="1"/>
    <col min="28" max="28" width="10.00390625" style="0" customWidth="1"/>
    <col min="29" max="29" width="13.00390625" style="0" customWidth="1"/>
    <col min="31" max="31" width="12.00390625" style="0" bestFit="1" customWidth="1"/>
  </cols>
  <sheetData>
    <row r="1" spans="1:29" ht="15">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1:29" ht="15">
      <c r="A2" s="47" t="s">
        <v>81</v>
      </c>
      <c r="B2" s="46"/>
      <c r="C2" s="46"/>
      <c r="D2" s="46"/>
      <c r="E2" s="46"/>
      <c r="F2" s="46"/>
      <c r="G2" s="46"/>
      <c r="H2" s="46"/>
      <c r="I2" s="46"/>
      <c r="J2" s="46"/>
      <c r="K2" s="46"/>
      <c r="L2" s="46"/>
      <c r="M2" s="46"/>
      <c r="N2" s="46"/>
      <c r="O2" s="204" t="s">
        <v>122</v>
      </c>
      <c r="P2" s="205"/>
      <c r="Q2" s="46"/>
      <c r="R2" s="46"/>
      <c r="S2" s="46"/>
      <c r="T2" s="46"/>
      <c r="U2" s="46"/>
      <c r="V2" s="46"/>
      <c r="W2" s="206" t="s">
        <v>78</v>
      </c>
      <c r="X2" s="207"/>
      <c r="Y2" s="46"/>
      <c r="Z2" s="46"/>
      <c r="AA2" s="46"/>
      <c r="AB2" s="46"/>
      <c r="AC2" s="46"/>
    </row>
    <row r="3" spans="1:29" ht="25.5">
      <c r="A3" s="46"/>
      <c r="B3" s="48"/>
      <c r="C3" s="49"/>
      <c r="D3" s="190" t="s">
        <v>120</v>
      </c>
      <c r="E3" s="194" t="s">
        <v>35</v>
      </c>
      <c r="F3" s="190" t="s">
        <v>82</v>
      </c>
      <c r="G3" s="190" t="s">
        <v>39</v>
      </c>
      <c r="H3" s="190" t="s">
        <v>36</v>
      </c>
      <c r="I3" s="190" t="s">
        <v>37</v>
      </c>
      <c r="J3" s="190" t="s">
        <v>435</v>
      </c>
      <c r="K3" s="190" t="s">
        <v>306</v>
      </c>
      <c r="L3" s="98" t="s">
        <v>307</v>
      </c>
      <c r="M3" s="98" t="s">
        <v>352</v>
      </c>
      <c r="N3" s="98" t="s">
        <v>70</v>
      </c>
      <c r="O3" s="190" t="s">
        <v>121</v>
      </c>
      <c r="P3" s="195" t="s">
        <v>445</v>
      </c>
      <c r="Q3" s="190" t="s">
        <v>71</v>
      </c>
      <c r="R3" s="190" t="s">
        <v>402</v>
      </c>
      <c r="S3" s="190" t="s">
        <v>437</v>
      </c>
      <c r="T3" s="194" t="s">
        <v>38</v>
      </c>
      <c r="U3" s="195" t="s">
        <v>446</v>
      </c>
      <c r="V3" s="190" t="s">
        <v>343</v>
      </c>
      <c r="W3" s="190" t="s">
        <v>410</v>
      </c>
      <c r="X3" s="190" t="s">
        <v>411</v>
      </c>
      <c r="Y3" s="190" t="s">
        <v>77</v>
      </c>
      <c r="Z3" s="190" t="s">
        <v>160</v>
      </c>
      <c r="AA3" s="190" t="s">
        <v>40</v>
      </c>
      <c r="AB3" s="190" t="s">
        <v>41</v>
      </c>
      <c r="AC3" s="191" t="s">
        <v>34</v>
      </c>
    </row>
    <row r="4" spans="1:29" ht="15">
      <c r="A4" s="46"/>
      <c r="B4" s="52" t="s">
        <v>2</v>
      </c>
      <c r="C4" s="49"/>
      <c r="D4" s="53">
        <v>89641957</v>
      </c>
      <c r="E4" s="53">
        <v>0</v>
      </c>
      <c r="F4" s="53">
        <v>83260200</v>
      </c>
      <c r="G4" s="53">
        <f>12617395+27512090+1</f>
        <v>40129486</v>
      </c>
      <c r="H4" s="53">
        <v>91371914</v>
      </c>
      <c r="I4" s="53">
        <v>125256272</v>
      </c>
      <c r="J4" s="53">
        <v>95721000</v>
      </c>
      <c r="K4" s="53">
        <v>26897383</v>
      </c>
      <c r="L4" s="53">
        <v>16933195</v>
      </c>
      <c r="M4" s="53">
        <f>22384750+311050</f>
        <v>22695800</v>
      </c>
      <c r="N4" s="53">
        <v>0</v>
      </c>
      <c r="O4" s="53">
        <v>72281558</v>
      </c>
      <c r="P4" s="53">
        <v>91991408</v>
      </c>
      <c r="Q4" s="53">
        <v>78583649</v>
      </c>
      <c r="R4" s="53">
        <v>33179760</v>
      </c>
      <c r="S4" s="53">
        <v>81143292</v>
      </c>
      <c r="T4" s="53">
        <v>4750000</v>
      </c>
      <c r="U4" s="53">
        <v>3977311</v>
      </c>
      <c r="V4" s="53">
        <v>18742165</v>
      </c>
      <c r="W4" s="53">
        <v>90000000</v>
      </c>
      <c r="X4" s="53">
        <v>90000000</v>
      </c>
      <c r="Y4" s="53">
        <v>8250000</v>
      </c>
      <c r="Z4" s="53">
        <v>62104949</v>
      </c>
      <c r="AA4" s="53">
        <v>0</v>
      </c>
      <c r="AB4" s="53">
        <v>43953709</v>
      </c>
      <c r="AC4" s="53">
        <f>D4+E4+F4+G4+H4+I4+J4+K4+L4+M4+N4+O4+P4+Q4+R4+S4+T4+U4+V4+W4+X4+Y4+Z4+AA4+AB4</f>
        <v>1270865008</v>
      </c>
    </row>
    <row r="5" spans="1:29" ht="15">
      <c r="A5" s="46"/>
      <c r="B5" s="52" t="s">
        <v>42</v>
      </c>
      <c r="C5" s="49"/>
      <c r="D5" s="53">
        <v>85583014</v>
      </c>
      <c r="E5" s="53">
        <v>0</v>
      </c>
      <c r="F5" s="53">
        <v>76211552</v>
      </c>
      <c r="G5" s="53">
        <v>29690143</v>
      </c>
      <c r="H5" s="53">
        <v>85477990</v>
      </c>
      <c r="I5" s="53">
        <v>95073272</v>
      </c>
      <c r="J5" s="53">
        <v>72202306</v>
      </c>
      <c r="K5" s="53">
        <v>20456500</v>
      </c>
      <c r="L5" s="53">
        <v>12770725</v>
      </c>
      <c r="M5" s="53">
        <v>22695800</v>
      </c>
      <c r="N5" s="53">
        <v>0</v>
      </c>
      <c r="O5" s="53">
        <v>57304408</v>
      </c>
      <c r="P5" s="53">
        <v>66530680</v>
      </c>
      <c r="Q5" s="53">
        <v>60491492</v>
      </c>
      <c r="R5" s="53">
        <v>27169468</v>
      </c>
      <c r="S5" s="53">
        <v>26164197</v>
      </c>
      <c r="T5" s="53">
        <v>4750000</v>
      </c>
      <c r="U5" s="53">
        <v>3977311</v>
      </c>
      <c r="V5" s="53">
        <v>18742165</v>
      </c>
      <c r="W5" s="53">
        <v>90000000</v>
      </c>
      <c r="X5" s="53">
        <v>90000000</v>
      </c>
      <c r="Y5" s="53">
        <v>8182200</v>
      </c>
      <c r="Z5" s="53">
        <v>57571750</v>
      </c>
      <c r="AA5" s="53">
        <v>0</v>
      </c>
      <c r="AB5" s="53">
        <v>41623275</v>
      </c>
      <c r="AC5" s="53">
        <f aca="true" t="shared" si="0" ref="AC5:AC24">D5+E5+F5+G5+H5+I5+J5+K5+L5+M5+N5+O5+P5+Q5+R5+S5+T5+U5+V5+W5+X5+Y5+Z5+AA5+AB5</f>
        <v>1052668248</v>
      </c>
    </row>
    <row r="6" spans="1:29" ht="15">
      <c r="A6" s="46"/>
      <c r="B6" s="52" t="s">
        <v>43</v>
      </c>
      <c r="C6" s="49"/>
      <c r="D6" s="53">
        <f aca="true" t="shared" si="1" ref="D6:Z6">D4-D5</f>
        <v>4058943</v>
      </c>
      <c r="E6" s="53">
        <f t="shared" si="1"/>
        <v>0</v>
      </c>
      <c r="F6" s="53">
        <f t="shared" si="1"/>
        <v>7048648</v>
      </c>
      <c r="G6" s="53">
        <f t="shared" si="1"/>
        <v>10439343</v>
      </c>
      <c r="H6" s="53">
        <f t="shared" si="1"/>
        <v>5893924</v>
      </c>
      <c r="I6" s="53">
        <f t="shared" si="1"/>
        <v>30183000</v>
      </c>
      <c r="J6" s="53">
        <f t="shared" si="1"/>
        <v>23518694</v>
      </c>
      <c r="K6" s="53">
        <f t="shared" si="1"/>
        <v>6440883</v>
      </c>
      <c r="L6" s="53">
        <f t="shared" si="1"/>
        <v>4162470</v>
      </c>
      <c r="M6" s="53">
        <f t="shared" si="1"/>
        <v>0</v>
      </c>
      <c r="N6" s="53">
        <f>N4-N5</f>
        <v>0</v>
      </c>
      <c r="O6" s="53">
        <f t="shared" si="1"/>
        <v>14977150</v>
      </c>
      <c r="P6" s="53">
        <f>P4-P5</f>
        <v>25460728</v>
      </c>
      <c r="Q6" s="53">
        <f t="shared" si="1"/>
        <v>18092157</v>
      </c>
      <c r="R6" s="53">
        <f t="shared" si="1"/>
        <v>6010292</v>
      </c>
      <c r="S6" s="53">
        <f t="shared" si="1"/>
        <v>54979095</v>
      </c>
      <c r="T6" s="53">
        <f t="shared" si="1"/>
        <v>0</v>
      </c>
      <c r="U6" s="53">
        <f t="shared" si="1"/>
        <v>0</v>
      </c>
      <c r="V6" s="53">
        <f t="shared" si="1"/>
        <v>0</v>
      </c>
      <c r="W6" s="53">
        <f t="shared" si="1"/>
        <v>0</v>
      </c>
      <c r="X6" s="53">
        <f t="shared" si="1"/>
        <v>0</v>
      </c>
      <c r="Y6" s="53">
        <f t="shared" si="1"/>
        <v>67800</v>
      </c>
      <c r="Z6" s="53">
        <f t="shared" si="1"/>
        <v>4533199</v>
      </c>
      <c r="AA6" s="53">
        <f>AA4-AA5</f>
        <v>0</v>
      </c>
      <c r="AB6" s="53">
        <f>AB4-AB5</f>
        <v>2330434</v>
      </c>
      <c r="AC6" s="53">
        <f t="shared" si="0"/>
        <v>218196760</v>
      </c>
    </row>
    <row r="7" spans="1:29" ht="15">
      <c r="A7" s="46"/>
      <c r="B7" s="46"/>
      <c r="C7" s="46"/>
      <c r="D7" s="46"/>
      <c r="E7" s="46"/>
      <c r="F7" s="46"/>
      <c r="G7" s="46"/>
      <c r="H7" s="46"/>
      <c r="I7" s="46"/>
      <c r="J7" s="46"/>
      <c r="K7" s="55"/>
      <c r="L7" s="130"/>
      <c r="M7" s="46"/>
      <c r="N7" s="46"/>
      <c r="O7" s="46"/>
      <c r="P7" s="46"/>
      <c r="Q7" s="46"/>
      <c r="R7" s="46"/>
      <c r="S7" s="46"/>
      <c r="T7" s="55"/>
      <c r="U7" s="55"/>
      <c r="V7" s="46"/>
      <c r="W7" s="46"/>
      <c r="X7" s="46"/>
      <c r="Y7" s="55"/>
      <c r="Z7" s="46"/>
      <c r="AA7" s="46"/>
      <c r="AB7" s="46"/>
      <c r="AC7" s="46"/>
    </row>
    <row r="8" spans="1:29" ht="15">
      <c r="A8" s="47" t="s">
        <v>44</v>
      </c>
      <c r="B8" s="46"/>
      <c r="C8" s="46"/>
      <c r="D8" s="46"/>
      <c r="E8" s="61"/>
      <c r="F8" s="61"/>
      <c r="G8" s="61"/>
      <c r="H8" s="61"/>
      <c r="I8" s="61"/>
      <c r="J8" s="61"/>
      <c r="K8" s="130"/>
      <c r="L8" s="130"/>
      <c r="M8" s="61"/>
      <c r="N8" s="61"/>
      <c r="O8" s="61"/>
      <c r="P8" s="61"/>
      <c r="Q8" s="61"/>
      <c r="R8" s="61"/>
      <c r="S8" s="61"/>
      <c r="T8" s="130"/>
      <c r="U8" s="55"/>
      <c r="V8" s="61"/>
      <c r="W8" s="46"/>
      <c r="X8" s="46"/>
      <c r="Y8" s="55"/>
      <c r="Z8" s="46"/>
      <c r="AA8" s="46"/>
      <c r="AB8" s="46"/>
      <c r="AC8" s="46"/>
    </row>
    <row r="9" spans="1:31" ht="15">
      <c r="A9" s="46"/>
      <c r="B9" s="46"/>
      <c r="C9" s="46"/>
      <c r="D9" s="46"/>
      <c r="E9" s="46"/>
      <c r="F9" s="46"/>
      <c r="G9" s="46"/>
      <c r="H9" s="46"/>
      <c r="I9" s="61"/>
      <c r="J9" s="61"/>
      <c r="K9" s="130"/>
      <c r="L9" s="130"/>
      <c r="M9" s="46"/>
      <c r="N9" s="46"/>
      <c r="O9" s="46"/>
      <c r="P9" s="46"/>
      <c r="Q9" s="46"/>
      <c r="R9" s="46"/>
      <c r="S9" s="46"/>
      <c r="T9" s="55"/>
      <c r="U9" s="55"/>
      <c r="V9" s="46"/>
      <c r="W9" s="46"/>
      <c r="X9" s="46"/>
      <c r="Y9" s="130"/>
      <c r="Z9" s="8"/>
      <c r="AB9" s="46"/>
      <c r="AC9" s="46"/>
      <c r="AE9" s="9"/>
    </row>
    <row r="10" spans="1:31" ht="26.25">
      <c r="A10" s="56" t="s">
        <v>45</v>
      </c>
      <c r="B10" s="48"/>
      <c r="C10" s="49"/>
      <c r="D10" s="98" t="s">
        <v>120</v>
      </c>
      <c r="E10" s="194" t="s">
        <v>35</v>
      </c>
      <c r="F10" s="190" t="s">
        <v>82</v>
      </c>
      <c r="G10" s="190" t="s">
        <v>39</v>
      </c>
      <c r="H10" s="98" t="s">
        <v>36</v>
      </c>
      <c r="I10" s="98" t="s">
        <v>37</v>
      </c>
      <c r="J10" s="190" t="s">
        <v>435</v>
      </c>
      <c r="K10" s="190" t="s">
        <v>306</v>
      </c>
      <c r="L10" s="98" t="s">
        <v>307</v>
      </c>
      <c r="M10" s="190" t="s">
        <v>190</v>
      </c>
      <c r="N10" s="98" t="s">
        <v>70</v>
      </c>
      <c r="O10" s="190" t="s">
        <v>121</v>
      </c>
      <c r="P10" s="195" t="s">
        <v>445</v>
      </c>
      <c r="Q10" s="98" t="s">
        <v>71</v>
      </c>
      <c r="R10" s="190" t="s">
        <v>402</v>
      </c>
      <c r="S10" s="190" t="s">
        <v>437</v>
      </c>
      <c r="T10" s="194" t="s">
        <v>38</v>
      </c>
      <c r="U10" s="195" t="s">
        <v>446</v>
      </c>
      <c r="V10" s="191" t="s">
        <v>343</v>
      </c>
      <c r="W10" s="191" t="s">
        <v>410</v>
      </c>
      <c r="X10" s="191" t="s">
        <v>411</v>
      </c>
      <c r="Y10" s="98" t="s">
        <v>77</v>
      </c>
      <c r="Z10" s="191" t="s">
        <v>160</v>
      </c>
      <c r="AA10" s="98" t="s">
        <v>40</v>
      </c>
      <c r="AB10" s="190" t="s">
        <v>41</v>
      </c>
      <c r="AC10" s="25"/>
      <c r="AE10" s="9"/>
    </row>
    <row r="11" spans="1:31" ht="15">
      <c r="A11" s="46"/>
      <c r="B11" s="52" t="s">
        <v>46</v>
      </c>
      <c r="C11" s="49"/>
      <c r="D11" s="54">
        <v>0</v>
      </c>
      <c r="E11" s="54">
        <v>5278428</v>
      </c>
      <c r="F11" s="54">
        <v>6559324</v>
      </c>
      <c r="G11" s="54">
        <v>12617395</v>
      </c>
      <c r="H11" s="54">
        <v>956214</v>
      </c>
      <c r="I11" s="54">
        <v>17560</v>
      </c>
      <c r="J11" s="54">
        <v>0</v>
      </c>
      <c r="K11" s="53">
        <v>0</v>
      </c>
      <c r="L11" s="53">
        <v>0</v>
      </c>
      <c r="M11" s="54">
        <v>15492250</v>
      </c>
      <c r="N11" s="54">
        <v>87456</v>
      </c>
      <c r="O11" s="54">
        <f>546160-550</f>
        <v>545610</v>
      </c>
      <c r="P11" s="54">
        <f>1288126+1550</f>
        <v>1289676</v>
      </c>
      <c r="Q11" s="54">
        <v>37505797</v>
      </c>
      <c r="R11" s="54">
        <v>0</v>
      </c>
      <c r="S11" s="54">
        <v>0</v>
      </c>
      <c r="T11" s="53">
        <v>0</v>
      </c>
      <c r="U11" s="53">
        <v>0</v>
      </c>
      <c r="V11" s="53">
        <v>0</v>
      </c>
      <c r="W11" s="53">
        <v>0</v>
      </c>
      <c r="X11" s="53">
        <v>0</v>
      </c>
      <c r="Y11" s="53">
        <v>43300</v>
      </c>
      <c r="Z11" s="54">
        <v>4403151</v>
      </c>
      <c r="AA11" s="54">
        <v>873757</v>
      </c>
      <c r="AB11" s="54">
        <v>1685588</v>
      </c>
      <c r="AC11" s="53">
        <f t="shared" si="0"/>
        <v>87355506</v>
      </c>
      <c r="AD11" s="9"/>
      <c r="AE11" s="9"/>
    </row>
    <row r="12" spans="1:31" ht="15">
      <c r="A12" s="46"/>
      <c r="B12" s="52" t="s">
        <v>47</v>
      </c>
      <c r="C12" s="49"/>
      <c r="D12" s="54">
        <v>87444080</v>
      </c>
      <c r="E12" s="54">
        <v>0</v>
      </c>
      <c r="F12" s="54">
        <v>81386674</v>
      </c>
      <c r="G12" s="54">
        <v>27512091</v>
      </c>
      <c r="H12" s="54">
        <v>91208990</v>
      </c>
      <c r="I12" s="54">
        <v>96992754</v>
      </c>
      <c r="J12" s="54">
        <v>72569957</v>
      </c>
      <c r="K12" s="53">
        <v>26897383</v>
      </c>
      <c r="L12" s="53">
        <v>14668015</v>
      </c>
      <c r="M12" s="54">
        <v>7237900</v>
      </c>
      <c r="N12" s="54">
        <v>0</v>
      </c>
      <c r="O12" s="54">
        <v>62009992</v>
      </c>
      <c r="P12" s="54">
        <f>33112849+29547455+2627414-1550</f>
        <v>65286168</v>
      </c>
      <c r="Q12" s="54">
        <v>23363876</v>
      </c>
      <c r="R12" s="54">
        <v>27803898</v>
      </c>
      <c r="S12" s="54">
        <v>47971749</v>
      </c>
      <c r="T12" s="53">
        <v>4750000</v>
      </c>
      <c r="U12" s="53">
        <v>3977311</v>
      </c>
      <c r="V12" s="53">
        <v>18742165</v>
      </c>
      <c r="W12" s="54">
        <v>90000000</v>
      </c>
      <c r="X12" s="54">
        <v>90000000</v>
      </c>
      <c r="Y12" s="53">
        <v>8236000</v>
      </c>
      <c r="Z12" s="54">
        <v>57702752</v>
      </c>
      <c r="AA12" s="54"/>
      <c r="AB12" s="54">
        <v>40375309</v>
      </c>
      <c r="AC12" s="53">
        <f t="shared" si="0"/>
        <v>1046137064</v>
      </c>
      <c r="AE12" s="9"/>
    </row>
    <row r="13" spans="1:31" ht="15">
      <c r="A13" s="46"/>
      <c r="B13" s="52" t="s">
        <v>48</v>
      </c>
      <c r="C13" s="49"/>
      <c r="D13" s="54">
        <f aca="true" t="shared" si="2" ref="D13:AA13">SUM(D11:D12)</f>
        <v>87444080</v>
      </c>
      <c r="E13" s="54">
        <f t="shared" si="2"/>
        <v>5278428</v>
      </c>
      <c r="F13" s="54">
        <f t="shared" si="2"/>
        <v>87945998</v>
      </c>
      <c r="G13" s="54">
        <f t="shared" si="2"/>
        <v>40129486</v>
      </c>
      <c r="H13" s="54">
        <f t="shared" si="2"/>
        <v>92165204</v>
      </c>
      <c r="I13" s="54">
        <f>SUM(I11:I12)</f>
        <v>97010314</v>
      </c>
      <c r="J13" s="54">
        <f>SUM(J11:J12)</f>
        <v>72569957</v>
      </c>
      <c r="K13" s="53">
        <f>SUM(K11:K12)</f>
        <v>26897383</v>
      </c>
      <c r="L13" s="53">
        <f>SUM(L11:L12)</f>
        <v>14668015</v>
      </c>
      <c r="M13" s="54">
        <f>SUM(M11:M12)</f>
        <v>22730150</v>
      </c>
      <c r="N13" s="54">
        <f t="shared" si="2"/>
        <v>87456</v>
      </c>
      <c r="O13" s="54">
        <f t="shared" si="2"/>
        <v>62555602</v>
      </c>
      <c r="P13" s="54">
        <f>SUM(P11:P12)</f>
        <v>66575844</v>
      </c>
      <c r="Q13" s="54">
        <f>SUM(Q11:Q12)</f>
        <v>60869673</v>
      </c>
      <c r="R13" s="54">
        <f>SUM(R11:R12)</f>
        <v>27803898</v>
      </c>
      <c r="S13" s="54">
        <f>SUM(S11:S12)</f>
        <v>47971749</v>
      </c>
      <c r="T13" s="53">
        <f t="shared" si="2"/>
        <v>4750000</v>
      </c>
      <c r="U13" s="53">
        <f t="shared" si="2"/>
        <v>3977311</v>
      </c>
      <c r="V13" s="53">
        <f t="shared" si="2"/>
        <v>18742165</v>
      </c>
      <c r="W13" s="54">
        <f t="shared" si="2"/>
        <v>90000000</v>
      </c>
      <c r="X13" s="54">
        <f t="shared" si="2"/>
        <v>90000000</v>
      </c>
      <c r="Y13" s="53">
        <f t="shared" si="2"/>
        <v>8279300</v>
      </c>
      <c r="Z13" s="54">
        <f t="shared" si="2"/>
        <v>62105903</v>
      </c>
      <c r="AA13" s="54">
        <f t="shared" si="2"/>
        <v>873757</v>
      </c>
      <c r="AB13" s="54">
        <f>SUM(AB11:AB12)</f>
        <v>42060897</v>
      </c>
      <c r="AC13" s="53">
        <f t="shared" si="0"/>
        <v>1133492570</v>
      </c>
      <c r="AE13" s="9"/>
    </row>
    <row r="14" spans="1:31" ht="15">
      <c r="A14" s="46"/>
      <c r="B14" s="46"/>
      <c r="C14" s="46"/>
      <c r="D14" s="46"/>
      <c r="E14" s="46"/>
      <c r="F14" s="46"/>
      <c r="G14" s="46"/>
      <c r="H14" s="46"/>
      <c r="I14" s="46"/>
      <c r="J14" s="46"/>
      <c r="K14" s="55"/>
      <c r="L14" s="55"/>
      <c r="M14" s="46"/>
      <c r="N14" s="46"/>
      <c r="O14" s="46"/>
      <c r="P14" s="46"/>
      <c r="Q14" s="61"/>
      <c r="R14" s="61"/>
      <c r="S14" s="130"/>
      <c r="T14" s="55"/>
      <c r="U14" s="55"/>
      <c r="V14" s="46"/>
      <c r="W14" s="46"/>
      <c r="X14" s="46"/>
      <c r="Y14" s="55"/>
      <c r="Z14" s="46"/>
      <c r="AA14" s="46"/>
      <c r="AB14" s="46"/>
      <c r="AC14" s="46"/>
      <c r="AE14" s="9"/>
    </row>
    <row r="15" spans="1:31" ht="26.25">
      <c r="A15" s="56" t="s">
        <v>49</v>
      </c>
      <c r="B15" s="48"/>
      <c r="C15" s="49"/>
      <c r="D15" s="98" t="s">
        <v>120</v>
      </c>
      <c r="E15" s="194" t="s">
        <v>35</v>
      </c>
      <c r="F15" s="190" t="s">
        <v>82</v>
      </c>
      <c r="G15" s="98" t="s">
        <v>39</v>
      </c>
      <c r="H15" s="98" t="s">
        <v>36</v>
      </c>
      <c r="I15" s="98" t="s">
        <v>37</v>
      </c>
      <c r="J15" s="190" t="s">
        <v>435</v>
      </c>
      <c r="K15" s="190" t="s">
        <v>306</v>
      </c>
      <c r="L15" s="98" t="s">
        <v>307</v>
      </c>
      <c r="M15" s="190" t="s">
        <v>190</v>
      </c>
      <c r="N15" s="98" t="s">
        <v>70</v>
      </c>
      <c r="O15" s="190" t="s">
        <v>121</v>
      </c>
      <c r="P15" s="195" t="s">
        <v>445</v>
      </c>
      <c r="Q15" s="98" t="s">
        <v>71</v>
      </c>
      <c r="R15" s="190" t="s">
        <v>402</v>
      </c>
      <c r="S15" s="190" t="s">
        <v>437</v>
      </c>
      <c r="T15" s="194" t="s">
        <v>38</v>
      </c>
      <c r="U15" s="195" t="s">
        <v>446</v>
      </c>
      <c r="V15" s="98" t="s">
        <v>343</v>
      </c>
      <c r="W15" s="98" t="s">
        <v>410</v>
      </c>
      <c r="X15" s="98" t="s">
        <v>411</v>
      </c>
      <c r="Y15" s="98" t="s">
        <v>77</v>
      </c>
      <c r="Z15" s="98" t="s">
        <v>160</v>
      </c>
      <c r="AA15" s="98" t="s">
        <v>40</v>
      </c>
      <c r="AB15" s="190" t="s">
        <v>41</v>
      </c>
      <c r="AC15" s="25"/>
      <c r="AE15" s="9"/>
    </row>
    <row r="16" spans="1:31" ht="15">
      <c r="A16" s="46"/>
      <c r="B16" s="52" t="s">
        <v>46</v>
      </c>
      <c r="C16" s="49"/>
      <c r="D16" s="54">
        <v>0</v>
      </c>
      <c r="E16" s="53">
        <v>0</v>
      </c>
      <c r="F16" s="54">
        <v>843220</v>
      </c>
      <c r="G16" s="53">
        <f>1339862+41855</f>
        <v>1381717</v>
      </c>
      <c r="H16" s="54">
        <v>0</v>
      </c>
      <c r="I16" s="54">
        <v>0</v>
      </c>
      <c r="J16" s="53">
        <v>0</v>
      </c>
      <c r="K16" s="53">
        <v>0</v>
      </c>
      <c r="L16" s="53">
        <v>0</v>
      </c>
      <c r="M16" s="53"/>
      <c r="N16" s="53">
        <v>0</v>
      </c>
      <c r="O16" s="53">
        <v>5850</v>
      </c>
      <c r="P16" s="54">
        <v>1175125</v>
      </c>
      <c r="Q16" s="53">
        <v>0</v>
      </c>
      <c r="R16" s="53">
        <v>0</v>
      </c>
      <c r="S16" s="53">
        <v>0</v>
      </c>
      <c r="T16" s="53">
        <v>0</v>
      </c>
      <c r="U16" s="53">
        <v>0</v>
      </c>
      <c r="V16" s="53">
        <v>0</v>
      </c>
      <c r="W16" s="53">
        <v>0</v>
      </c>
      <c r="X16" s="53">
        <v>0</v>
      </c>
      <c r="Y16" s="53"/>
      <c r="Z16" s="53">
        <v>0</v>
      </c>
      <c r="AA16" s="53">
        <v>0</v>
      </c>
      <c r="AB16" s="53">
        <v>0</v>
      </c>
      <c r="AC16" s="53">
        <f t="shared" si="0"/>
        <v>3405912</v>
      </c>
      <c r="AE16" s="9"/>
    </row>
    <row r="17" spans="1:31" ht="15">
      <c r="A17" s="46"/>
      <c r="B17" s="52" t="s">
        <v>50</v>
      </c>
      <c r="C17" s="49" t="s">
        <v>51</v>
      </c>
      <c r="D17" s="54">
        <v>85563014</v>
      </c>
      <c r="E17" s="53">
        <v>5278428</v>
      </c>
      <c r="F17" s="54">
        <v>76211552</v>
      </c>
      <c r="G17" s="53">
        <v>28308426</v>
      </c>
      <c r="H17" s="54">
        <v>85477990</v>
      </c>
      <c r="I17" s="54">
        <v>95073272</v>
      </c>
      <c r="J17" s="53">
        <v>72202306</v>
      </c>
      <c r="K17" s="53">
        <v>20456500</v>
      </c>
      <c r="L17" s="53">
        <v>12770725</v>
      </c>
      <c r="M17" s="53">
        <f>22695800+34350</f>
        <v>22730150</v>
      </c>
      <c r="N17" s="53">
        <v>87456</v>
      </c>
      <c r="O17" s="53">
        <f>57293259+5299</f>
        <v>57298558</v>
      </c>
      <c r="P17" s="54">
        <v>65355555</v>
      </c>
      <c r="Q17" s="53">
        <v>60491492</v>
      </c>
      <c r="R17" s="53">
        <v>27169468</v>
      </c>
      <c r="S17" s="53">
        <v>26164197</v>
      </c>
      <c r="T17" s="53">
        <v>4750000</v>
      </c>
      <c r="U17" s="53">
        <v>3977311</v>
      </c>
      <c r="V17" s="53">
        <v>18742165</v>
      </c>
      <c r="W17" s="54">
        <v>90000000</v>
      </c>
      <c r="X17" s="54">
        <v>90000000</v>
      </c>
      <c r="Y17" s="53">
        <v>8182200</v>
      </c>
      <c r="Z17" s="53">
        <v>57571750</v>
      </c>
      <c r="AA17" s="53">
        <v>873757</v>
      </c>
      <c r="AB17" s="53">
        <v>41623275</v>
      </c>
      <c r="AC17" s="53">
        <f t="shared" si="0"/>
        <v>1056359547</v>
      </c>
      <c r="AD17" s="9"/>
      <c r="AE17" s="9"/>
    </row>
    <row r="18" spans="1:31" ht="15">
      <c r="A18" s="46"/>
      <c r="B18" s="52" t="s">
        <v>52</v>
      </c>
      <c r="C18" s="49"/>
      <c r="D18" s="54">
        <f aca="true" t="shared" si="3" ref="D18:Z18">SUM(D16:D17)</f>
        <v>85563014</v>
      </c>
      <c r="E18" s="53">
        <f t="shared" si="3"/>
        <v>5278428</v>
      </c>
      <c r="F18" s="54">
        <f t="shared" si="3"/>
        <v>77054772</v>
      </c>
      <c r="G18" s="53">
        <f t="shared" si="3"/>
        <v>29690143</v>
      </c>
      <c r="H18" s="54">
        <f t="shared" si="3"/>
        <v>85477990</v>
      </c>
      <c r="I18" s="54">
        <f t="shared" si="3"/>
        <v>95073272</v>
      </c>
      <c r="J18" s="53">
        <f t="shared" si="3"/>
        <v>72202306</v>
      </c>
      <c r="K18" s="53">
        <f t="shared" si="3"/>
        <v>20456500</v>
      </c>
      <c r="L18" s="53">
        <f>SUM(L16:L17)</f>
        <v>12770725</v>
      </c>
      <c r="M18" s="53">
        <f t="shared" si="3"/>
        <v>22730150</v>
      </c>
      <c r="N18" s="53">
        <f t="shared" si="3"/>
        <v>87456</v>
      </c>
      <c r="O18" s="53">
        <f t="shared" si="3"/>
        <v>57304408</v>
      </c>
      <c r="P18" s="54">
        <f>SUM(P16:P17)</f>
        <v>66530680</v>
      </c>
      <c r="Q18" s="53">
        <f t="shared" si="3"/>
        <v>60491492</v>
      </c>
      <c r="R18" s="53">
        <f t="shared" si="3"/>
        <v>27169468</v>
      </c>
      <c r="S18" s="53">
        <f t="shared" si="3"/>
        <v>26164197</v>
      </c>
      <c r="T18" s="53">
        <f t="shared" si="3"/>
        <v>4750000</v>
      </c>
      <c r="U18" s="53">
        <f t="shared" si="3"/>
        <v>3977311</v>
      </c>
      <c r="V18" s="53">
        <f t="shared" si="3"/>
        <v>18742165</v>
      </c>
      <c r="W18" s="54">
        <f t="shared" si="3"/>
        <v>90000000</v>
      </c>
      <c r="X18" s="54">
        <f t="shared" si="3"/>
        <v>90000000</v>
      </c>
      <c r="Y18" s="53">
        <f t="shared" si="3"/>
        <v>8182200</v>
      </c>
      <c r="Z18" s="53">
        <f t="shared" si="3"/>
        <v>57571750</v>
      </c>
      <c r="AA18" s="53">
        <f>SUM(AA16:AA17)</f>
        <v>873757</v>
      </c>
      <c r="AB18" s="53">
        <f>SUM(AB16:AB17)</f>
        <v>41623275</v>
      </c>
      <c r="AC18" s="53">
        <f t="shared" si="0"/>
        <v>1059765459</v>
      </c>
      <c r="AD18" s="8"/>
      <c r="AE18" s="9"/>
    </row>
    <row r="19" spans="1:31" ht="15">
      <c r="A19" s="46"/>
      <c r="B19" s="46"/>
      <c r="C19" s="46"/>
      <c r="D19" s="61"/>
      <c r="E19" s="46"/>
      <c r="F19" s="46"/>
      <c r="G19" s="46"/>
      <c r="H19" s="61"/>
      <c r="I19" s="46"/>
      <c r="J19" s="46"/>
      <c r="K19" s="55"/>
      <c r="L19" s="55"/>
      <c r="M19" s="46"/>
      <c r="N19" s="46"/>
      <c r="O19" s="46"/>
      <c r="P19" s="61"/>
      <c r="Q19" s="61"/>
      <c r="R19" s="46"/>
      <c r="S19" s="130"/>
      <c r="T19" s="55"/>
      <c r="U19" s="55"/>
      <c r="V19" s="46"/>
      <c r="W19" s="46"/>
      <c r="X19" s="46"/>
      <c r="Y19" s="55"/>
      <c r="Z19" s="46"/>
      <c r="AA19" s="46"/>
      <c r="AB19" s="46"/>
      <c r="AC19" s="53"/>
      <c r="AE19" s="9"/>
    </row>
    <row r="20" spans="1:31" ht="26.25">
      <c r="A20" s="47" t="s">
        <v>53</v>
      </c>
      <c r="B20" s="46"/>
      <c r="C20" s="46"/>
      <c r="D20" s="191" t="s">
        <v>120</v>
      </c>
      <c r="E20" s="194" t="s">
        <v>35</v>
      </c>
      <c r="F20" s="192" t="s">
        <v>82</v>
      </c>
      <c r="G20" s="192" t="s">
        <v>39</v>
      </c>
      <c r="H20" s="193" t="s">
        <v>36</v>
      </c>
      <c r="I20" s="193" t="s">
        <v>37</v>
      </c>
      <c r="J20" s="190" t="s">
        <v>435</v>
      </c>
      <c r="K20" s="190" t="s">
        <v>306</v>
      </c>
      <c r="L20" s="98" t="s">
        <v>307</v>
      </c>
      <c r="M20" s="191" t="s">
        <v>190</v>
      </c>
      <c r="N20" s="193" t="s">
        <v>70</v>
      </c>
      <c r="O20" s="192" t="s">
        <v>121</v>
      </c>
      <c r="P20" s="195" t="s">
        <v>445</v>
      </c>
      <c r="Q20" s="193" t="s">
        <v>71</v>
      </c>
      <c r="R20" s="190" t="s">
        <v>402</v>
      </c>
      <c r="S20" s="190" t="s">
        <v>437</v>
      </c>
      <c r="T20" s="194" t="s">
        <v>38</v>
      </c>
      <c r="U20" s="195" t="s">
        <v>446</v>
      </c>
      <c r="V20" s="191" t="s">
        <v>343</v>
      </c>
      <c r="W20" s="191" t="s">
        <v>410</v>
      </c>
      <c r="X20" s="191" t="s">
        <v>411</v>
      </c>
      <c r="Y20" s="127" t="s">
        <v>77</v>
      </c>
      <c r="Z20" s="191" t="s">
        <v>160</v>
      </c>
      <c r="AA20" s="193" t="s">
        <v>40</v>
      </c>
      <c r="AB20" s="190" t="s">
        <v>41</v>
      </c>
      <c r="AC20" s="25"/>
      <c r="AE20" s="9"/>
    </row>
    <row r="21" spans="1:31" ht="15">
      <c r="A21" s="46"/>
      <c r="B21" s="52" t="s">
        <v>54</v>
      </c>
      <c r="C21" s="49"/>
      <c r="D21" s="54">
        <v>4795</v>
      </c>
      <c r="E21" s="54">
        <v>0</v>
      </c>
      <c r="F21" s="54">
        <v>8285</v>
      </c>
      <c r="G21" s="54">
        <v>25435</v>
      </c>
      <c r="H21" s="53">
        <v>19375</v>
      </c>
      <c r="I21" s="54">
        <v>0</v>
      </c>
      <c r="J21" s="54">
        <v>0</v>
      </c>
      <c r="K21" s="53">
        <v>0</v>
      </c>
      <c r="L21" s="53">
        <v>0</v>
      </c>
      <c r="M21" s="54">
        <v>0</v>
      </c>
      <c r="N21" s="54">
        <v>0</v>
      </c>
      <c r="O21" s="54">
        <v>37885</v>
      </c>
      <c r="P21" s="54">
        <v>935</v>
      </c>
      <c r="Q21" s="54">
        <v>0</v>
      </c>
      <c r="R21" s="54">
        <v>2374</v>
      </c>
      <c r="S21" s="54">
        <v>36000</v>
      </c>
      <c r="T21" s="53">
        <v>0</v>
      </c>
      <c r="U21" s="53">
        <v>0</v>
      </c>
      <c r="V21" s="54">
        <v>0</v>
      </c>
      <c r="W21" s="54">
        <v>0</v>
      </c>
      <c r="X21" s="54">
        <v>0</v>
      </c>
      <c r="Y21" s="53">
        <v>0</v>
      </c>
      <c r="Z21" s="54">
        <v>0</v>
      </c>
      <c r="AA21" s="54">
        <v>0</v>
      </c>
      <c r="AB21" s="54">
        <v>108</v>
      </c>
      <c r="AC21" s="53">
        <f t="shared" si="0"/>
        <v>135192</v>
      </c>
      <c r="AE21" s="9"/>
    </row>
    <row r="22" spans="1:31" ht="15">
      <c r="A22" s="46"/>
      <c r="B22" s="52" t="s">
        <v>55</v>
      </c>
      <c r="C22" s="49"/>
      <c r="D22" s="54">
        <v>1876268</v>
      </c>
      <c r="E22" s="54">
        <v>0</v>
      </c>
      <c r="F22" s="53">
        <v>10882941</v>
      </c>
      <c r="G22" s="54">
        <v>10413908</v>
      </c>
      <c r="H22" s="54">
        <v>6667839</v>
      </c>
      <c r="I22" s="54">
        <v>1937042</v>
      </c>
      <c r="J22" s="54">
        <v>367651</v>
      </c>
      <c r="K22" s="53">
        <v>6440883</v>
      </c>
      <c r="L22" s="53">
        <v>1897290</v>
      </c>
      <c r="M22" s="54">
        <v>0</v>
      </c>
      <c r="N22" s="53">
        <v>0</v>
      </c>
      <c r="O22" s="54">
        <v>5213309</v>
      </c>
      <c r="P22" s="54">
        <v>44229</v>
      </c>
      <c r="Q22" s="54">
        <v>378181</v>
      </c>
      <c r="R22" s="54">
        <v>632056</v>
      </c>
      <c r="S22" s="54">
        <v>21771552</v>
      </c>
      <c r="T22" s="53">
        <v>0</v>
      </c>
      <c r="U22" s="53">
        <v>0</v>
      </c>
      <c r="V22" s="54">
        <v>0</v>
      </c>
      <c r="W22" s="54">
        <v>0</v>
      </c>
      <c r="X22" s="54">
        <v>0</v>
      </c>
      <c r="Y22" s="53">
        <v>97100</v>
      </c>
      <c r="Z22" s="54">
        <v>4050</v>
      </c>
      <c r="AA22" s="54">
        <v>0</v>
      </c>
      <c r="AB22" s="54">
        <v>437514</v>
      </c>
      <c r="AC22" s="53">
        <f t="shared" si="0"/>
        <v>69061813</v>
      </c>
      <c r="AE22" s="9"/>
    </row>
    <row r="23" spans="1:31" ht="15">
      <c r="A23" s="46"/>
      <c r="B23" s="52" t="s">
        <v>56</v>
      </c>
      <c r="C23" s="49"/>
      <c r="D23" s="54"/>
      <c r="E23" s="54">
        <v>0</v>
      </c>
      <c r="F23" s="54"/>
      <c r="G23" s="54">
        <v>0</v>
      </c>
      <c r="H23" s="54">
        <v>0</v>
      </c>
      <c r="I23" s="54">
        <v>0</v>
      </c>
      <c r="J23" s="54"/>
      <c r="K23" s="53">
        <v>0</v>
      </c>
      <c r="L23" s="53">
        <v>0</v>
      </c>
      <c r="M23" s="54">
        <v>0</v>
      </c>
      <c r="N23" s="54">
        <v>0</v>
      </c>
      <c r="O23" s="54">
        <v>0</v>
      </c>
      <c r="P23" s="54">
        <v>0</v>
      </c>
      <c r="Q23" s="54">
        <v>0</v>
      </c>
      <c r="R23" s="54">
        <v>0</v>
      </c>
      <c r="S23" s="54"/>
      <c r="T23" s="54">
        <v>0</v>
      </c>
      <c r="U23" s="54">
        <v>0</v>
      </c>
      <c r="V23" s="54">
        <v>0</v>
      </c>
      <c r="W23" s="54">
        <v>0</v>
      </c>
      <c r="X23" s="54">
        <v>0</v>
      </c>
      <c r="Y23" s="53">
        <v>0</v>
      </c>
      <c r="Z23" s="54">
        <v>4530101</v>
      </c>
      <c r="AA23" s="54">
        <v>0</v>
      </c>
      <c r="AB23" s="54">
        <v>0</v>
      </c>
      <c r="AC23" s="53">
        <f t="shared" si="0"/>
        <v>4530101</v>
      </c>
      <c r="AE23" s="9"/>
    </row>
    <row r="24" spans="1:31" ht="15">
      <c r="A24" s="46"/>
      <c r="B24" s="52" t="s">
        <v>57</v>
      </c>
      <c r="C24" s="49"/>
      <c r="D24" s="197">
        <f>SUM(D21:D23)</f>
        <v>1881063</v>
      </c>
      <c r="E24" s="54">
        <f aca="true" t="shared" si="4" ref="E24:AA24">SUM(E21:E23)</f>
        <v>0</v>
      </c>
      <c r="F24" s="54">
        <f t="shared" si="4"/>
        <v>10891226</v>
      </c>
      <c r="G24" s="54">
        <f t="shared" si="4"/>
        <v>10439343</v>
      </c>
      <c r="H24" s="54">
        <f t="shared" si="4"/>
        <v>6687214</v>
      </c>
      <c r="I24" s="54">
        <f t="shared" si="4"/>
        <v>1937042</v>
      </c>
      <c r="J24" s="54">
        <f t="shared" si="4"/>
        <v>367651</v>
      </c>
      <c r="K24" s="53">
        <f t="shared" si="4"/>
        <v>6440883</v>
      </c>
      <c r="L24" s="53">
        <f t="shared" si="4"/>
        <v>1897290</v>
      </c>
      <c r="M24" s="54">
        <f t="shared" si="4"/>
        <v>0</v>
      </c>
      <c r="N24" s="54">
        <f t="shared" si="4"/>
        <v>0</v>
      </c>
      <c r="O24" s="54">
        <f t="shared" si="4"/>
        <v>5251194</v>
      </c>
      <c r="P24" s="54">
        <f>SUM(P21:P23)</f>
        <v>45164</v>
      </c>
      <c r="Q24" s="54">
        <f>SUM(Q21:Q23)</f>
        <v>378181</v>
      </c>
      <c r="R24" s="54">
        <f>SUM(R21:R23)</f>
        <v>634430</v>
      </c>
      <c r="S24" s="54">
        <f>SUM(S21:S23)</f>
        <v>21807552</v>
      </c>
      <c r="T24" s="54">
        <f t="shared" si="4"/>
        <v>0</v>
      </c>
      <c r="U24" s="54">
        <f t="shared" si="4"/>
        <v>0</v>
      </c>
      <c r="V24" s="54">
        <f t="shared" si="4"/>
        <v>0</v>
      </c>
      <c r="W24" s="54">
        <f t="shared" si="4"/>
        <v>0</v>
      </c>
      <c r="X24" s="54">
        <f t="shared" si="4"/>
        <v>0</v>
      </c>
      <c r="Y24" s="53">
        <f t="shared" si="4"/>
        <v>97100</v>
      </c>
      <c r="Z24" s="54">
        <f t="shared" si="4"/>
        <v>4534151</v>
      </c>
      <c r="AA24" s="54">
        <f t="shared" si="4"/>
        <v>0</v>
      </c>
      <c r="AB24" s="54">
        <f>SUM(AB21:AB23)</f>
        <v>437622</v>
      </c>
      <c r="AC24" s="53">
        <f t="shared" si="0"/>
        <v>73727106</v>
      </c>
      <c r="AE24" s="9"/>
    </row>
    <row r="25" spans="1:30" ht="15">
      <c r="A25" s="46"/>
      <c r="B25" s="46"/>
      <c r="C25" s="46"/>
      <c r="D25" s="61"/>
      <c r="E25" s="46"/>
      <c r="F25" s="46"/>
      <c r="G25" s="46"/>
      <c r="H25" s="61"/>
      <c r="I25" s="46"/>
      <c r="J25" s="46"/>
      <c r="K25" s="55"/>
      <c r="L25" s="55"/>
      <c r="M25" s="46"/>
      <c r="N25" s="46"/>
      <c r="O25" s="46"/>
      <c r="P25" s="61"/>
      <c r="Q25" s="61"/>
      <c r="R25" s="46"/>
      <c r="S25" s="130"/>
      <c r="T25" s="55"/>
      <c r="U25" s="55"/>
      <c r="V25" s="46"/>
      <c r="W25" s="46"/>
      <c r="X25" s="46"/>
      <c r="Y25" s="55"/>
      <c r="Z25" s="46"/>
      <c r="AA25" s="46"/>
      <c r="AB25" s="46"/>
      <c r="AC25" s="46"/>
      <c r="AD25" s="9"/>
    </row>
    <row r="26" spans="1:29" ht="15">
      <c r="A26" s="46"/>
      <c r="B26" s="46"/>
      <c r="C26" s="46"/>
      <c r="D26" s="61"/>
      <c r="E26" s="46"/>
      <c r="F26" s="46"/>
      <c r="G26" s="46"/>
      <c r="H26" s="61"/>
      <c r="I26" s="46"/>
      <c r="J26" s="46"/>
      <c r="K26" s="55"/>
      <c r="L26" s="55"/>
      <c r="M26" s="46"/>
      <c r="N26" s="46"/>
      <c r="O26" s="46"/>
      <c r="P26" s="61"/>
      <c r="Q26" s="61"/>
      <c r="R26" s="46"/>
      <c r="S26" s="130"/>
      <c r="T26" s="55"/>
      <c r="U26" s="55"/>
      <c r="V26" s="46"/>
      <c r="W26" s="46"/>
      <c r="X26" s="46"/>
      <c r="Y26" s="55"/>
      <c r="Z26" s="46"/>
      <c r="AA26" s="46"/>
      <c r="AB26" s="46"/>
      <c r="AC26" s="46"/>
    </row>
    <row r="27" spans="1:29" s="9" customFormat="1" ht="15">
      <c r="A27" s="46"/>
      <c r="B27" s="46"/>
      <c r="C27" s="61"/>
      <c r="D27" s="46"/>
      <c r="E27" s="46"/>
      <c r="F27" s="46"/>
      <c r="G27" s="61"/>
      <c r="H27" s="46"/>
      <c r="I27" s="46"/>
      <c r="J27" s="46"/>
      <c r="K27" s="46"/>
      <c r="L27" s="46"/>
      <c r="M27" s="46"/>
      <c r="N27" s="46"/>
      <c r="O27" s="61"/>
      <c r="P27" s="61"/>
      <c r="Q27" s="46"/>
      <c r="R27" s="46"/>
      <c r="S27" s="46"/>
      <c r="T27" s="46"/>
      <c r="U27" s="46"/>
      <c r="V27" s="46"/>
      <c r="W27" s="46"/>
      <c r="X27" s="46"/>
      <c r="Y27" s="46"/>
      <c r="Z27" s="46"/>
      <c r="AA27" s="46"/>
      <c r="AB27" s="46"/>
      <c r="AC27" s="46"/>
    </row>
    <row r="28" spans="1:29" ht="26.25">
      <c r="A28" s="47" t="s">
        <v>58</v>
      </c>
      <c r="B28" s="46"/>
      <c r="C28" s="46"/>
      <c r="D28" s="50" t="s">
        <v>120</v>
      </c>
      <c r="E28" s="194" t="s">
        <v>35</v>
      </c>
      <c r="F28" s="51" t="s">
        <v>82</v>
      </c>
      <c r="G28" s="51" t="s">
        <v>39</v>
      </c>
      <c r="H28" s="59" t="s">
        <v>36</v>
      </c>
      <c r="I28" s="59" t="s">
        <v>37</v>
      </c>
      <c r="J28" s="58" t="s">
        <v>435</v>
      </c>
      <c r="K28" s="58" t="s">
        <v>306</v>
      </c>
      <c r="L28" s="57" t="s">
        <v>307</v>
      </c>
      <c r="M28" s="51" t="s">
        <v>190</v>
      </c>
      <c r="N28" s="59" t="s">
        <v>70</v>
      </c>
      <c r="O28" s="51" t="s">
        <v>121</v>
      </c>
      <c r="P28" s="195" t="s">
        <v>445</v>
      </c>
      <c r="Q28" s="59" t="s">
        <v>71</v>
      </c>
      <c r="R28" s="58" t="s">
        <v>402</v>
      </c>
      <c r="S28" s="58" t="s">
        <v>437</v>
      </c>
      <c r="T28" s="194" t="s">
        <v>38</v>
      </c>
      <c r="U28" s="195" t="s">
        <v>446</v>
      </c>
      <c r="V28" s="50" t="s">
        <v>343</v>
      </c>
      <c r="W28" s="59" t="s">
        <v>80</v>
      </c>
      <c r="X28" s="59" t="s">
        <v>79</v>
      </c>
      <c r="Y28" s="59" t="s">
        <v>77</v>
      </c>
      <c r="Z28" s="50" t="s">
        <v>160</v>
      </c>
      <c r="AA28" s="59" t="s">
        <v>40</v>
      </c>
      <c r="AB28" s="59" t="s">
        <v>41</v>
      </c>
      <c r="AC28" s="60"/>
    </row>
    <row r="29" spans="1:29" ht="15">
      <c r="A29" s="46"/>
      <c r="B29" s="52" t="s">
        <v>59</v>
      </c>
      <c r="C29" s="49"/>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row>
    <row r="30" spans="1:29" ht="15">
      <c r="A30" s="46"/>
      <c r="B30" s="52" t="s">
        <v>60</v>
      </c>
      <c r="C30" s="49"/>
      <c r="D30" s="60">
        <v>0</v>
      </c>
      <c r="E30" s="60">
        <v>0</v>
      </c>
      <c r="F30" s="60">
        <v>0</v>
      </c>
      <c r="G30" s="60">
        <v>0</v>
      </c>
      <c r="H30" s="60">
        <v>0</v>
      </c>
      <c r="I30" s="60">
        <v>0</v>
      </c>
      <c r="J30" s="60">
        <v>0</v>
      </c>
      <c r="K30" s="60">
        <v>0</v>
      </c>
      <c r="L30" s="60">
        <v>0</v>
      </c>
      <c r="M30" s="60">
        <v>0</v>
      </c>
      <c r="N30" s="60">
        <v>0</v>
      </c>
      <c r="O30" s="60">
        <v>0</v>
      </c>
      <c r="P30" s="60">
        <v>0</v>
      </c>
      <c r="Q30" s="60">
        <v>0</v>
      </c>
      <c r="R30" s="60">
        <v>0</v>
      </c>
      <c r="S30" s="60">
        <v>0</v>
      </c>
      <c r="T30" s="60">
        <v>0</v>
      </c>
      <c r="U30" s="60">
        <v>0</v>
      </c>
      <c r="V30" s="60">
        <v>0</v>
      </c>
      <c r="W30" s="60">
        <v>0</v>
      </c>
      <c r="X30" s="60">
        <v>0</v>
      </c>
      <c r="Y30" s="60">
        <v>0</v>
      </c>
      <c r="Z30" s="60">
        <v>0</v>
      </c>
      <c r="AA30" s="60">
        <v>0</v>
      </c>
      <c r="AB30" s="60">
        <v>0</v>
      </c>
      <c r="AC30" s="60"/>
    </row>
    <row r="31" spans="1:29" ht="15">
      <c r="A31" s="46"/>
      <c r="B31" s="52" t="s">
        <v>61</v>
      </c>
      <c r="C31" s="49"/>
      <c r="D31" s="60">
        <v>0</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row>
    <row r="32" spans="1:29" ht="15">
      <c r="A32" s="46"/>
      <c r="B32" s="52" t="s">
        <v>62</v>
      </c>
      <c r="C32" s="49"/>
      <c r="D32" s="60">
        <v>0</v>
      </c>
      <c r="E32" s="60">
        <v>0</v>
      </c>
      <c r="F32" s="60">
        <v>0</v>
      </c>
      <c r="G32" s="60">
        <v>0</v>
      </c>
      <c r="H32" s="60">
        <v>0</v>
      </c>
      <c r="I32" s="60">
        <v>0</v>
      </c>
      <c r="J32" s="60">
        <v>0</v>
      </c>
      <c r="K32" s="60">
        <v>0</v>
      </c>
      <c r="L32" s="60">
        <v>0</v>
      </c>
      <c r="M32" s="60">
        <v>0</v>
      </c>
      <c r="N32" s="60">
        <v>0</v>
      </c>
      <c r="O32" s="60">
        <v>0</v>
      </c>
      <c r="P32" s="60">
        <v>0</v>
      </c>
      <c r="Q32" s="60">
        <v>0</v>
      </c>
      <c r="R32" s="60">
        <v>0</v>
      </c>
      <c r="S32" s="60">
        <v>0</v>
      </c>
      <c r="T32" s="60">
        <v>0</v>
      </c>
      <c r="U32" s="60">
        <v>0</v>
      </c>
      <c r="V32" s="60">
        <v>0</v>
      </c>
      <c r="W32" s="60">
        <v>0</v>
      </c>
      <c r="X32" s="60">
        <v>0</v>
      </c>
      <c r="Y32" s="60">
        <v>0</v>
      </c>
      <c r="Z32" s="60">
        <v>0</v>
      </c>
      <c r="AA32" s="60">
        <v>0</v>
      </c>
      <c r="AB32" s="60">
        <v>0</v>
      </c>
      <c r="AC32" s="60"/>
    </row>
    <row r="33" spans="1:29" ht="1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1:29" ht="1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1:29" ht="15">
      <c r="A35" s="46" t="s">
        <v>63</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1:29" ht="15">
      <c r="A36" s="46"/>
      <c r="B36" s="46" t="s">
        <v>64</v>
      </c>
      <c r="C36" s="46"/>
      <c r="D36" s="130">
        <v>18226490</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1:29" ht="15">
      <c r="A37" s="46"/>
      <c r="B37" s="46" t="s">
        <v>65</v>
      </c>
      <c r="C37" s="46"/>
      <c r="D37" s="130">
        <f>2430984+1041648+4110420+1518768+1882824+2025024+1418472+1065890+622699+3846987+3702174+1542161+1593618+2867031+1668997</f>
        <v>31337697</v>
      </c>
      <c r="E37" s="46"/>
      <c r="F37" s="130"/>
      <c r="G37" s="46"/>
      <c r="H37" s="61"/>
      <c r="I37" s="46"/>
      <c r="J37" s="46"/>
      <c r="K37" s="46"/>
      <c r="L37" s="46"/>
      <c r="M37" s="46"/>
      <c r="N37" s="46"/>
      <c r="O37" s="46"/>
      <c r="P37" s="46"/>
      <c r="Q37" s="46"/>
      <c r="R37" s="46"/>
      <c r="S37" s="46"/>
      <c r="T37" s="46"/>
      <c r="U37" s="46"/>
      <c r="V37" s="46"/>
      <c r="W37" s="46"/>
      <c r="X37" s="46"/>
      <c r="Y37" s="46"/>
      <c r="Z37" s="46"/>
      <c r="AA37" s="46"/>
      <c r="AB37" s="46"/>
      <c r="AC37" s="46"/>
    </row>
    <row r="38" spans="1:29" ht="15">
      <c r="A38" s="46"/>
      <c r="B38" s="46" t="s">
        <v>66</v>
      </c>
      <c r="C38" s="46"/>
      <c r="D38" s="61"/>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1:29" ht="15">
      <c r="A39" s="46"/>
      <c r="B39" s="46" t="s">
        <v>67</v>
      </c>
      <c r="C39" s="46"/>
      <c r="D39" s="130">
        <f>2200000+2760000+2550200+311050+1458000</f>
        <v>9279250</v>
      </c>
      <c r="E39" s="46"/>
      <c r="F39" s="46"/>
      <c r="G39" s="46"/>
      <c r="H39" s="46"/>
      <c r="I39" s="46"/>
      <c r="J39" s="46"/>
      <c r="K39" s="46"/>
      <c r="L39" s="46"/>
      <c r="M39" s="46"/>
      <c r="N39" s="46"/>
      <c r="O39" s="46"/>
      <c r="P39" s="46"/>
      <c r="Q39" s="46"/>
      <c r="R39" s="46"/>
      <c r="S39" s="46"/>
      <c r="T39" s="46"/>
      <c r="U39" s="46"/>
      <c r="V39" s="46"/>
      <c r="W39" s="46"/>
      <c r="X39" s="46"/>
      <c r="Y39" s="46"/>
      <c r="Z39" s="46"/>
      <c r="AA39" s="46"/>
      <c r="AB39" s="46"/>
      <c r="AC39" s="46"/>
    </row>
    <row r="40" spans="1:29" ht="15">
      <c r="A40" s="46"/>
      <c r="B40" s="46" t="s">
        <v>68</v>
      </c>
      <c r="C40" s="46"/>
      <c r="D40" s="130">
        <f>1595000+7500000</f>
        <v>9095000</v>
      </c>
      <c r="E40" s="46"/>
      <c r="F40" s="46"/>
      <c r="G40" s="46"/>
      <c r="H40" s="46"/>
      <c r="I40" s="46"/>
      <c r="J40" s="46"/>
      <c r="K40" s="46"/>
      <c r="L40" s="46"/>
      <c r="M40" s="46"/>
      <c r="N40" s="46"/>
      <c r="O40" s="46"/>
      <c r="P40" s="46"/>
      <c r="Q40" s="46"/>
      <c r="R40" s="46"/>
      <c r="S40" s="46"/>
      <c r="T40" s="46"/>
      <c r="U40" s="46"/>
      <c r="V40" s="46"/>
      <c r="W40" s="46"/>
      <c r="X40" s="46"/>
      <c r="Y40" s="46"/>
      <c r="Z40" s="46"/>
      <c r="AA40" s="46"/>
      <c r="AB40" s="46"/>
      <c r="AC40" s="46"/>
    </row>
    <row r="41" spans="1:29" ht="15">
      <c r="A41" s="46"/>
      <c r="B41" s="46" t="s">
        <v>69</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row>
    <row r="42" spans="1:29" ht="1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row>
    <row r="43" spans="1:29" ht="15">
      <c r="A43" s="9" t="s">
        <v>443</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row>
    <row r="44" spans="1:29" ht="15">
      <c r="A44" s="9"/>
      <c r="B44" s="46"/>
      <c r="C44" s="9" t="s">
        <v>444</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row>
    <row r="45" spans="1:29" ht="15">
      <c r="A45" s="9"/>
      <c r="B45" s="24"/>
      <c r="C45" s="9" t="s">
        <v>441</v>
      </c>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3" ht="15">
      <c r="A46" s="9"/>
      <c r="C46" s="9" t="s">
        <v>442</v>
      </c>
    </row>
  </sheetData>
  <sheetProtection/>
  <mergeCells count="2">
    <mergeCell ref="O2:P2"/>
    <mergeCell ref="W2:X2"/>
  </mergeCells>
  <printOptions/>
  <pageMargins left="0.787401575" right="0.787401575" top="0.984251969" bottom="0.984251969" header="0.4921259845" footer="0.4921259845"/>
  <pageSetup horizontalDpi="600" verticalDpi="600" orientation="landscape" paperSize="9" scale="4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 Ag Lolo</dc:creator>
  <cp:keywords/>
  <dc:description/>
  <cp:lastModifiedBy>HP</cp:lastModifiedBy>
  <cp:lastPrinted>2019-03-02T11:42:52Z</cp:lastPrinted>
  <dcterms:created xsi:type="dcterms:W3CDTF">2017-02-24T09:00:49Z</dcterms:created>
  <dcterms:modified xsi:type="dcterms:W3CDTF">2019-03-12T08:27:37Z</dcterms:modified>
  <cp:category/>
  <cp:version/>
  <cp:contentType/>
  <cp:contentStatus/>
</cp:coreProperties>
</file>