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nmail-my.sharepoint.com/personal/at_reedmachines_com/Documents/70-Information/30-Support/PI/018-Gouged oboe cane calculator/"/>
    </mc:Choice>
  </mc:AlternateContent>
  <xr:revisionPtr revIDLastSave="4" documentId="8_{0D5461B4-4EE6-40F5-B6BF-C85BFF62650C}" xr6:coauthVersionLast="47" xr6:coauthVersionMax="47" xr10:uidLastSave="{2F343E42-C2FD-4423-AA9E-68C29479644D}"/>
  <workbookProtection workbookAlgorithmName="SHA-512" workbookHashValue="jPefdZcHXE8+M/QIpl5UxVsppfYL2OQi3AfWf68lHjUSNuxcLohoutrfvScut9t/1sllIU6iYoBt/GZKdD9Y6w==" workbookSaltValue="4ytQIBtMosRtxyaUwZe3YA==" workbookSpinCount="100000" lockStructure="1"/>
  <bookViews>
    <workbookView xWindow="38280" yWindow="-120" windowWidth="38640" windowHeight="21120" xr2:uid="{00000000-000D-0000-FFFF-FFFF00000000}"/>
  </bookViews>
  <sheets>
    <sheet name="OB" sheetId="8" r:id="rId1"/>
    <sheet name="D01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9" l="1"/>
  <c r="D5" i="9"/>
  <c r="D4" i="9"/>
  <c r="D3" i="9"/>
  <c r="D2" i="9"/>
  <c r="D1" i="9"/>
  <c r="D8" i="9"/>
  <c r="C1" i="9"/>
  <c r="M8" i="9"/>
  <c r="A8" i="9"/>
  <c r="L8" i="9"/>
  <c r="H8" i="9"/>
  <c r="K8" i="9"/>
  <c r="J8" i="9"/>
  <c r="I8" i="9"/>
  <c r="G8" i="9"/>
  <c r="F8" i="9"/>
  <c r="E8" i="9"/>
  <c r="C6" i="9"/>
  <c r="C5" i="9"/>
  <c r="C4" i="9"/>
  <c r="C3" i="9"/>
  <c r="C2" i="9"/>
  <c r="B8" i="9" l="1"/>
  <c r="C8" i="9"/>
  <c r="B33" i="8" l="1"/>
  <c r="C33" i="8" s="1"/>
  <c r="B32" i="8"/>
  <c r="C32" i="8" s="1"/>
  <c r="B31" i="8"/>
  <c r="C31" i="8" s="1"/>
  <c r="B30" i="8"/>
  <c r="C30" i="8" s="1"/>
  <c r="B29" i="8"/>
  <c r="C29" i="8" s="1"/>
  <c r="B28" i="8"/>
  <c r="C28" i="8" s="1"/>
  <c r="B27" i="8"/>
  <c r="C27" i="8" s="1"/>
  <c r="B26" i="8"/>
  <c r="C26" i="8" s="1"/>
  <c r="B25" i="8"/>
  <c r="C25" i="8" s="1"/>
  <c r="B24" i="8"/>
  <c r="C24" i="8" s="1"/>
  <c r="B35" i="8"/>
  <c r="B34" i="8"/>
  <c r="C34" i="8" s="1"/>
  <c r="D34" i="8" s="1"/>
  <c r="D33" i="8"/>
  <c r="D32" i="8"/>
  <c r="D31" i="8"/>
  <c r="D30" i="8"/>
  <c r="D29" i="8"/>
  <c r="D28" i="8"/>
  <c r="D27" i="8"/>
  <c r="D26" i="8"/>
  <c r="D25" i="8"/>
  <c r="D24" i="8"/>
  <c r="C35" i="8" l="1"/>
  <c r="D35" i="8"/>
  <c r="G35" i="8" s="1"/>
  <c r="H35" i="8" s="1"/>
  <c r="E34" i="8"/>
  <c r="G34" i="8"/>
  <c r="H34" i="8" s="1"/>
  <c r="F34" i="8"/>
  <c r="G33" i="8"/>
  <c r="H33" i="8" s="1"/>
  <c r="E33" i="8"/>
  <c r="F33" i="8"/>
  <c r="F32" i="8"/>
  <c r="G32" i="8"/>
  <c r="H32" i="8" s="1"/>
  <c r="E32" i="8"/>
  <c r="G31" i="8"/>
  <c r="H31" i="8" s="1"/>
  <c r="E31" i="8"/>
  <c r="F31" i="8"/>
  <c r="E30" i="8"/>
  <c r="F30" i="8"/>
  <c r="G30" i="8"/>
  <c r="H30" i="8" s="1"/>
  <c r="F29" i="8"/>
  <c r="E29" i="8"/>
  <c r="G29" i="8"/>
  <c r="H29" i="8" s="1"/>
  <c r="G28" i="8"/>
  <c r="H28" i="8" s="1"/>
  <c r="E28" i="8"/>
  <c r="F28" i="8"/>
  <c r="E27" i="8"/>
  <c r="G27" i="8"/>
  <c r="H27" i="8" s="1"/>
  <c r="F27" i="8"/>
  <c r="E26" i="8"/>
  <c r="G26" i="8"/>
  <c r="H26" i="8" s="1"/>
  <c r="F26" i="8"/>
  <c r="E25" i="8"/>
  <c r="G25" i="8"/>
  <c r="H25" i="8" s="1"/>
  <c r="F25" i="8"/>
  <c r="G24" i="8"/>
  <c r="H24" i="8" s="1"/>
  <c r="E24" i="8"/>
  <c r="F24" i="8"/>
  <c r="E35" i="8" l="1"/>
  <c r="F35" i="8"/>
</calcChain>
</file>

<file path=xl/sharedStrings.xml><?xml version="1.0" encoding="utf-8"?>
<sst xmlns="http://schemas.openxmlformats.org/spreadsheetml/2006/main" count="64" uniqueCount="48">
  <si>
    <t>[mm]</t>
  </si>
  <si>
    <t>Thickness in the middle :</t>
  </si>
  <si>
    <t>diameter</t>
  </si>
  <si>
    <t>Width of the finished reed tip :</t>
  </si>
  <si>
    <t>Thickness</t>
  </si>
  <si>
    <t>Option</t>
  </si>
  <si>
    <t>Width of the</t>
  </si>
  <si>
    <t>difference</t>
  </si>
  <si>
    <t>Oboe</t>
  </si>
  <si>
    <t>Cor anglais</t>
  </si>
  <si>
    <t>Oboe d'amore</t>
  </si>
  <si>
    <t>Viennese oboe</t>
  </si>
  <si>
    <t>Baroque oboe</t>
  </si>
  <si>
    <t>Bass oboe</t>
  </si>
  <si>
    <t>Type of oboe :</t>
  </si>
  <si>
    <t>Remarks :</t>
  </si>
  <si>
    <t>y</t>
  </si>
  <si>
    <t>How it works :</t>
  </si>
  <si>
    <t>Cane</t>
  </si>
  <si>
    <t>finished</t>
  </si>
  <si>
    <t>reed tip</t>
  </si>
  <si>
    <t>option</t>
  </si>
  <si>
    <t>[y]</t>
  </si>
  <si>
    <t>in the</t>
  </si>
  <si>
    <t>at the</t>
  </si>
  <si>
    <t>middle</t>
  </si>
  <si>
    <t>sides</t>
  </si>
  <si>
    <t>Product information</t>
  </si>
  <si>
    <t>PI_018_v01-01_EN</t>
  </si>
  <si>
    <t>contact@reedmachines.com  -  www.reedmachines.com</t>
  </si>
  <si>
    <t>Laarweg 7  -  6882 AA  -  Velp  -  Netherlands</t>
  </si>
  <si>
    <t>VAT no. NL852435538B01  -  EORI no. NL852435538</t>
  </si>
  <si>
    <t>2  -  The more the actual cane diameter deviates from the specified diameter, and the less straight and round the</t>
  </si>
  <si>
    <t>3  -  We sell gougers from stock for all indicated options</t>
  </si>
  <si>
    <t>Select</t>
  </si>
  <si>
    <t>Cane (bed set) diameter :</t>
  </si>
  <si>
    <t>(bed set)</t>
  </si>
  <si>
    <t>(carriage set)</t>
  </si>
  <si>
    <t>Knife</t>
  </si>
  <si>
    <t>piece of cane is, the more the calculated values ​​will deviate</t>
  </si>
  <si>
    <t>1  -  You can only select and change the values in the blue cells</t>
  </si>
  <si>
    <t>Calculator for the thickness of gouged oboe cane</t>
  </si>
  <si>
    <r>
      <t xml:space="preserve">1  -  Choose the </t>
    </r>
    <r>
      <rPr>
        <b/>
        <sz val="8"/>
        <color theme="1"/>
        <rFont val="Proxima Nova Rg"/>
      </rPr>
      <t>Type of oboe</t>
    </r>
    <r>
      <rPr>
        <sz val="8"/>
        <color theme="1"/>
        <rFont val="Proxima Nova Rg"/>
      </rPr>
      <t xml:space="preserve"> from the dropdown list</t>
    </r>
  </si>
  <si>
    <r>
      <t xml:space="preserve">2  -  Choose the </t>
    </r>
    <r>
      <rPr>
        <b/>
        <sz val="8"/>
        <color theme="1"/>
        <rFont val="Proxima Nova Rg"/>
      </rPr>
      <t>Cane (bed set) diameter</t>
    </r>
    <r>
      <rPr>
        <sz val="8"/>
        <color theme="1"/>
        <rFont val="Proxima Nova Rg"/>
      </rPr>
      <t xml:space="preserve"> from the dropdown list</t>
    </r>
  </si>
  <si>
    <r>
      <t xml:space="preserve">3  -  Specify the </t>
    </r>
    <r>
      <rPr>
        <b/>
        <sz val="8"/>
        <color theme="1"/>
        <rFont val="Proxima Nova Rg"/>
      </rPr>
      <t>Thickness in the middle</t>
    </r>
  </si>
  <si>
    <r>
      <t xml:space="preserve">4  -  Specify the </t>
    </r>
    <r>
      <rPr>
        <b/>
        <sz val="8"/>
        <color theme="1"/>
        <rFont val="Proxima Nova Rg"/>
      </rPr>
      <t>Width of the finished reed tip</t>
    </r>
  </si>
  <si>
    <t>your</t>
  </si>
  <si>
    <r>
      <t xml:space="preserve">5  -  </t>
    </r>
    <r>
      <rPr>
        <b/>
        <sz val="8"/>
        <color theme="1"/>
        <rFont val="Proxima Nova Rg"/>
      </rPr>
      <t>Select your option</t>
    </r>
    <r>
      <rPr>
        <sz val="8"/>
        <color theme="1"/>
        <rFont val="Proxima Nova Rg"/>
      </rPr>
      <t xml:space="preserve"> and read out the </t>
    </r>
    <r>
      <rPr>
        <b/>
        <sz val="8"/>
        <color theme="1"/>
        <rFont val="Proxima Nova Rg"/>
      </rPr>
      <t>knife (carriage set) diameter</t>
    </r>
    <r>
      <rPr>
        <sz val="8"/>
        <color theme="1"/>
        <rFont val="Proxima Nova Rg"/>
      </rPr>
      <t xml:space="preserve"> you need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</si>
</sst>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Proxima Nova Rg"/>
    </font>
    <font>
      <sz val="8"/>
      <color rgb="FF3A4651"/>
      <name val="Proxima Nova Rg"/>
    </font>
    <font>
      <b/>
      <sz val="12"/>
      <color theme="1"/>
      <name val="Proxima Nova Rg"/>
    </font>
    <font>
      <b/>
      <sz val="8"/>
      <color theme="1"/>
      <name val="Proxima Nova Rg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indent="3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164" fontId="1" fillId="2" borderId="0" xfId="0" applyNumberFormat="1" applyFont="1" applyFill="1" applyAlignment="1" applyProtection="1">
      <alignment horizontal="center" vertical="center"/>
      <protection locked="0"/>
    </xf>
    <xf numFmtId="2" fontId="1" fillId="2" borderId="0" xfId="0" applyNumberFormat="1" applyFont="1" applyFill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"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CC99"/>
        </patternFill>
      </fill>
    </dxf>
  </dxfs>
  <tableStyles count="0" defaultTableStyle="TableStyleMedium9" defaultPivotStyle="PivotStyleLight16"/>
  <colors>
    <mruColors>
      <color rgb="FFFF99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57150</xdr:rowOff>
    </xdr:from>
    <xdr:to>
      <xdr:col>4</xdr:col>
      <xdr:colOff>282737</xdr:colOff>
      <xdr:row>5</xdr:row>
      <xdr:rowOff>97674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E4A0D5-9B8B-4C89-ABDE-B6856365A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7150"/>
          <a:ext cx="2940212" cy="89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44AE-A283-4917-B217-F3E11859A637}">
  <dimension ref="B2:I42"/>
  <sheetViews>
    <sheetView showZeros="0" tabSelected="1" workbookViewId="0">
      <selection activeCell="D15" sqref="D15"/>
    </sheetView>
  </sheetViews>
  <sheetFormatPr defaultRowHeight="14.1" customHeight="1" x14ac:dyDescent="0.25"/>
  <cols>
    <col min="1" max="1" width="2.7109375" style="1" customWidth="1"/>
    <col min="2" max="2" width="10.7109375" style="1" customWidth="1"/>
    <col min="3" max="8" width="14.7109375" style="1" customWidth="1"/>
    <col min="9" max="9" width="10.7109375" style="1" customWidth="1"/>
    <col min="10" max="10" width="2.7109375" style="1" customWidth="1"/>
    <col min="11" max="11" width="10.7109375" style="1" customWidth="1"/>
    <col min="12" max="16384" width="9.140625" style="1"/>
  </cols>
  <sheetData>
    <row r="2" spans="2:9" ht="14.1" customHeight="1" x14ac:dyDescent="0.25">
      <c r="I2" s="5" t="s">
        <v>29</v>
      </c>
    </row>
    <row r="3" spans="2:9" ht="14.1" customHeight="1" x14ac:dyDescent="0.25">
      <c r="I3" s="5" t="s">
        <v>30</v>
      </c>
    </row>
    <row r="4" spans="2:9" ht="14.1" customHeight="1" x14ac:dyDescent="0.25">
      <c r="I4" s="5" t="s">
        <v>31</v>
      </c>
    </row>
    <row r="7" spans="2:9" ht="27.95" customHeight="1" x14ac:dyDescent="0.25">
      <c r="B7" s="30" t="s">
        <v>41</v>
      </c>
      <c r="C7" s="30"/>
      <c r="D7" s="30"/>
      <c r="E7" s="30"/>
      <c r="F7" s="30"/>
      <c r="G7" s="30"/>
      <c r="H7" s="30"/>
      <c r="I7" s="30"/>
    </row>
    <row r="8" spans="2:9" ht="14.1" customHeight="1" x14ac:dyDescent="0.25">
      <c r="B8" s="6"/>
      <c r="C8" s="6"/>
      <c r="D8" s="6"/>
      <c r="E8" s="6"/>
      <c r="F8" s="6"/>
      <c r="G8" s="6"/>
      <c r="H8" s="6"/>
      <c r="I8" s="6"/>
    </row>
    <row r="9" spans="2:9" ht="14.1" customHeight="1" x14ac:dyDescent="0.25">
      <c r="B9" s="6"/>
      <c r="C9" s="7" t="s">
        <v>17</v>
      </c>
      <c r="D9" s="3" t="s">
        <v>42</v>
      </c>
      <c r="E9" s="6"/>
      <c r="F9" s="6"/>
      <c r="G9" s="6"/>
      <c r="H9" s="6"/>
      <c r="I9" s="6"/>
    </row>
    <row r="10" spans="2:9" ht="14.1" customHeight="1" x14ac:dyDescent="0.25">
      <c r="B10" s="6"/>
      <c r="D10" s="3" t="s">
        <v>43</v>
      </c>
      <c r="E10" s="6"/>
      <c r="F10" s="6"/>
      <c r="G10" s="6"/>
      <c r="H10" s="6"/>
      <c r="I10" s="6"/>
    </row>
    <row r="11" spans="2:9" ht="14.1" customHeight="1" x14ac:dyDescent="0.25">
      <c r="B11" s="6"/>
      <c r="D11" s="3" t="s">
        <v>44</v>
      </c>
      <c r="E11" s="6"/>
      <c r="F11" s="6"/>
      <c r="G11" s="6"/>
      <c r="H11" s="6"/>
      <c r="I11" s="6"/>
    </row>
    <row r="12" spans="2:9" ht="14.1" customHeight="1" x14ac:dyDescent="0.25">
      <c r="B12" s="6"/>
      <c r="D12" s="3" t="s">
        <v>45</v>
      </c>
      <c r="E12" s="6"/>
      <c r="F12" s="6"/>
      <c r="G12" s="6"/>
      <c r="H12" s="6"/>
      <c r="I12" s="6"/>
    </row>
    <row r="13" spans="2:9" ht="14.1" customHeight="1" x14ac:dyDescent="0.25">
      <c r="B13" s="6"/>
      <c r="D13" s="3" t="s">
        <v>47</v>
      </c>
      <c r="E13" s="6"/>
      <c r="F13" s="6"/>
      <c r="G13" s="6"/>
      <c r="H13" s="6"/>
      <c r="I13" s="6"/>
    </row>
    <row r="15" spans="2:9" ht="14.1" customHeight="1" x14ac:dyDescent="0.25">
      <c r="C15" s="4" t="s">
        <v>14</v>
      </c>
      <c r="D15" s="31" t="s">
        <v>8</v>
      </c>
    </row>
    <row r="16" spans="2:9" ht="14.1" customHeight="1" x14ac:dyDescent="0.25">
      <c r="C16" s="4" t="s">
        <v>35</v>
      </c>
      <c r="D16" s="32">
        <v>11</v>
      </c>
      <c r="E16" s="1" t="s">
        <v>0</v>
      </c>
      <c r="F16" s="4"/>
    </row>
    <row r="17" spans="2:9" ht="14.1" customHeight="1" x14ac:dyDescent="0.25">
      <c r="C17" s="4" t="s">
        <v>1</v>
      </c>
      <c r="D17" s="33">
        <v>0.6</v>
      </c>
      <c r="E17" s="1" t="s">
        <v>0</v>
      </c>
      <c r="F17" s="4"/>
    </row>
    <row r="18" spans="2:9" ht="14.1" customHeight="1" x14ac:dyDescent="0.25">
      <c r="C18" s="4" t="s">
        <v>3</v>
      </c>
      <c r="D18" s="32">
        <v>7</v>
      </c>
      <c r="E18" s="1" t="s">
        <v>0</v>
      </c>
      <c r="F18" s="4"/>
    </row>
    <row r="20" spans="2:9" ht="14.1" customHeight="1" x14ac:dyDescent="0.25">
      <c r="B20" s="8" t="s">
        <v>5</v>
      </c>
      <c r="C20" s="9" t="s">
        <v>18</v>
      </c>
      <c r="D20" s="10" t="s">
        <v>38</v>
      </c>
      <c r="E20" s="9" t="s">
        <v>6</v>
      </c>
      <c r="F20" s="28" t="s">
        <v>4</v>
      </c>
      <c r="G20" s="29"/>
      <c r="H20" s="29"/>
      <c r="I20" s="12" t="s">
        <v>34</v>
      </c>
    </row>
    <row r="21" spans="2:9" ht="14.1" customHeight="1" x14ac:dyDescent="0.25">
      <c r="B21" s="8"/>
      <c r="C21" s="9" t="s">
        <v>36</v>
      </c>
      <c r="D21" s="10" t="s">
        <v>37</v>
      </c>
      <c r="E21" s="9" t="s">
        <v>19</v>
      </c>
      <c r="F21" s="9" t="s">
        <v>23</v>
      </c>
      <c r="G21" s="10" t="s">
        <v>24</v>
      </c>
      <c r="H21" s="11" t="s">
        <v>7</v>
      </c>
      <c r="I21" s="12" t="s">
        <v>46</v>
      </c>
    </row>
    <row r="22" spans="2:9" ht="14.1" customHeight="1" x14ac:dyDescent="0.25">
      <c r="B22" s="8"/>
      <c r="C22" s="9" t="s">
        <v>2</v>
      </c>
      <c r="D22" s="10" t="s">
        <v>2</v>
      </c>
      <c r="E22" s="9" t="s">
        <v>20</v>
      </c>
      <c r="F22" s="9" t="s">
        <v>25</v>
      </c>
      <c r="G22" s="10" t="s">
        <v>26</v>
      </c>
      <c r="H22" s="11"/>
      <c r="I22" s="12" t="s">
        <v>21</v>
      </c>
    </row>
    <row r="23" spans="2:9" ht="14.1" customHeight="1" thickBot="1" x14ac:dyDescent="0.3">
      <c r="B23" s="13"/>
      <c r="C23" s="14" t="s">
        <v>0</v>
      </c>
      <c r="D23" s="15" t="s">
        <v>0</v>
      </c>
      <c r="E23" s="14" t="s">
        <v>0</v>
      </c>
      <c r="F23" s="14" t="s">
        <v>0</v>
      </c>
      <c r="G23" s="15" t="s">
        <v>0</v>
      </c>
      <c r="H23" s="16" t="s">
        <v>0</v>
      </c>
      <c r="I23" s="12" t="s">
        <v>22</v>
      </c>
    </row>
    <row r="24" spans="2:9" ht="14.1" customHeight="1" x14ac:dyDescent="0.25">
      <c r="B24" s="17">
        <f>IF('D01'!B8&gt;=1,1,0)</f>
        <v>1</v>
      </c>
      <c r="C24" s="18">
        <f>IF(B24&lt;&gt;0,IF(COUNTIF('D01'!$D$8:$M$8,"="&amp;$D$16)=0,"Invalid diameter",$D$16),0)</f>
        <v>11</v>
      </c>
      <c r="D24" s="19">
        <f ca="1">IF(B24&lt;&gt;0,IF(C24="Invalid diameter",0,VLOOKUP($D$16,INDIRECT('D01'!$C$8),B24+1,FALSE)),0)</f>
        <v>10</v>
      </c>
      <c r="E24" s="19">
        <f ca="1">IF(D24=0,0,$D$18)</f>
        <v>7</v>
      </c>
      <c r="F24" s="20">
        <f ca="1">IF(D24=0,0,$D$17)</f>
        <v>0.6</v>
      </c>
      <c r="G24" s="20">
        <f ca="1">IF(D24=0,0,SQRT(((2*SIN($D$18/$D$16)*($D$16/2))/2)^2+((SQRT(($D$16/2)^2-((2*SIN($D$18/$D$16)*($D$16/2))/2)^2))+(($D24/2)+$D$17-($D$16/2)))^2)-($D24/2))</f>
        <v>0.5807426277115102</v>
      </c>
      <c r="H24" s="21">
        <f ca="1">IF(D24=0,0,$D$17-G24)</f>
        <v>1.9257372288489782E-2</v>
      </c>
      <c r="I24" s="34"/>
    </row>
    <row r="25" spans="2:9" ht="14.1" customHeight="1" x14ac:dyDescent="0.25">
      <c r="B25" s="22">
        <f>IF('D01'!B8&gt;=2,2,0)</f>
        <v>2</v>
      </c>
      <c r="C25" s="23">
        <f>IF(B25&lt;&gt;0,IF(COUNTIF('D01'!$D$8:$M$8,"="&amp;$D$16)=0,"Invalid diameter",$D$16),0)</f>
        <v>11</v>
      </c>
      <c r="D25" s="24">
        <f ca="1">IF(B25&lt;&gt;0,IF(C25="Invalid diameter",0,VLOOKUP($D$16,INDIRECT('D01'!$C$8),B25+1,FALSE)),0)</f>
        <v>10.3</v>
      </c>
      <c r="E25" s="24">
        <f t="shared" ref="E25:E35" ca="1" si="0">IF(D25=0,0,$D$18)</f>
        <v>7</v>
      </c>
      <c r="F25" s="25">
        <f t="shared" ref="F25:F35" ca="1" si="1">IF(D25=0,0,$D$17)</f>
        <v>0.6</v>
      </c>
      <c r="G25" s="25">
        <f t="shared" ref="G25:G35" ca="1" si="2">IF(D25=0,0,SQRT(((2*SIN($D$18/$D$16)*($D$16/2))/2)^2+((SQRT(($D$16/2)^2-((2*SIN($D$18/$D$16)*($D$16/2))/2)^2))+(($D25/2)+$D$17-($D$16/2)))^2)-($D25/2))</f>
        <v>0.55300102506486848</v>
      </c>
      <c r="H25" s="26">
        <f t="shared" ref="H25:H35" ca="1" si="3">IF(D25=0,0,$D$17-G25)</f>
        <v>4.6998974935131499E-2</v>
      </c>
      <c r="I25" s="35"/>
    </row>
    <row r="26" spans="2:9" ht="14.1" customHeight="1" x14ac:dyDescent="0.25">
      <c r="B26" s="22">
        <f>IF('D01'!B8&gt;=3,3,0)</f>
        <v>3</v>
      </c>
      <c r="C26" s="23">
        <f>IF(B26&lt;&gt;0,IF(COUNTIF('D01'!$D$8:$M$8,"="&amp;$D$16)=0,"Invalid diameter",$D$16),0)</f>
        <v>11</v>
      </c>
      <c r="D26" s="24">
        <f ca="1">IF(B26&lt;&gt;0,IF(C26="Invalid diameter",0,VLOOKUP($D$16,INDIRECT('D01'!$C$8),B26+1,FALSE)),0)</f>
        <v>10.5</v>
      </c>
      <c r="E26" s="24">
        <f t="shared" ca="1" si="0"/>
        <v>7</v>
      </c>
      <c r="F26" s="25">
        <f t="shared" ca="1" si="1"/>
        <v>0.6</v>
      </c>
      <c r="G26" s="25">
        <f t="shared" ca="1" si="2"/>
        <v>0.53523197189596861</v>
      </c>
      <c r="H26" s="26">
        <f t="shared" ca="1" si="3"/>
        <v>6.4768028104031372E-2</v>
      </c>
      <c r="I26" s="35"/>
    </row>
    <row r="27" spans="2:9" ht="14.1" customHeight="1" x14ac:dyDescent="0.25">
      <c r="B27" s="22">
        <f>IF('D01'!B8&gt;=4,4,0)</f>
        <v>4</v>
      </c>
      <c r="C27" s="23">
        <f>IF(B27&lt;&gt;0,IF(COUNTIF('D01'!$D$8:$M$8,"="&amp;$D$16)=0,"Invalid diameter",$D$16),0)</f>
        <v>11</v>
      </c>
      <c r="D27" s="24">
        <f ca="1">IF(B27&lt;&gt;0,IF(C27="Invalid diameter",0,VLOOKUP($D$16,INDIRECT('D01'!$C$8),B27+1,FALSE)),0)</f>
        <v>10.7</v>
      </c>
      <c r="E27" s="24">
        <f t="shared" ca="1" si="0"/>
        <v>7</v>
      </c>
      <c r="F27" s="25">
        <f t="shared" ca="1" si="1"/>
        <v>0.6</v>
      </c>
      <c r="G27" s="25">
        <f t="shared" ca="1" si="2"/>
        <v>0.51801476185972906</v>
      </c>
      <c r="H27" s="26">
        <f t="shared" ca="1" si="3"/>
        <v>8.1985238140270922E-2</v>
      </c>
      <c r="I27" s="35"/>
    </row>
    <row r="28" spans="2:9" ht="14.1" customHeight="1" x14ac:dyDescent="0.25">
      <c r="B28" s="22">
        <f>IF('D01'!B8&gt;=5,5,0)</f>
        <v>5</v>
      </c>
      <c r="C28" s="23">
        <f>IF(B28&lt;&gt;0,IF(COUNTIF('D01'!$D$8:$M$8,"="&amp;$D$16)=0,"Invalid diameter",$D$16),0)</f>
        <v>11</v>
      </c>
      <c r="D28" s="24">
        <f ca="1">IF(B28&lt;&gt;0,IF(C28="Invalid diameter",0,VLOOKUP($D$16,INDIRECT('D01'!$C$8),B28+1,FALSE)),0)</f>
        <v>11</v>
      </c>
      <c r="E28" s="24">
        <f t="shared" ca="1" si="0"/>
        <v>7</v>
      </c>
      <c r="F28" s="25">
        <f t="shared" ca="1" si="1"/>
        <v>0.6</v>
      </c>
      <c r="G28" s="25">
        <f t="shared" ca="1" si="2"/>
        <v>0.49317358838689529</v>
      </c>
      <c r="H28" s="26">
        <f t="shared" ca="1" si="3"/>
        <v>0.10682641161310469</v>
      </c>
      <c r="I28" s="35"/>
    </row>
    <row r="29" spans="2:9" ht="14.1" customHeight="1" x14ac:dyDescent="0.25">
      <c r="B29" s="22">
        <f>IF('D01'!B8&gt;=6,6,0)</f>
        <v>6</v>
      </c>
      <c r="C29" s="23">
        <f>IF(B29&lt;&gt;0,IF(COUNTIF('D01'!$D$8:$M$8,"="&amp;$D$16)=0,"Invalid diameter",$D$16),0)</f>
        <v>11</v>
      </c>
      <c r="D29" s="24">
        <f ca="1">IF(B29&lt;&gt;0,IF(C29="Invalid diameter",0,VLOOKUP($D$16,INDIRECT('D01'!$C$8),B29+1,FALSE)),0)</f>
        <v>11.3</v>
      </c>
      <c r="E29" s="24">
        <f t="shared" ca="1" si="0"/>
        <v>7</v>
      </c>
      <c r="F29" s="25">
        <f t="shared" ca="1" si="1"/>
        <v>0.6</v>
      </c>
      <c r="G29" s="25">
        <f t="shared" ca="1" si="2"/>
        <v>0.46944949122654478</v>
      </c>
      <c r="H29" s="26">
        <f t="shared" ca="1" si="3"/>
        <v>0.1305505087734552</v>
      </c>
      <c r="I29" s="35"/>
    </row>
    <row r="30" spans="2:9" ht="14.1" customHeight="1" x14ac:dyDescent="0.25">
      <c r="B30" s="22">
        <f>IF('D01'!B8&gt;=7,7,0)</f>
        <v>7</v>
      </c>
      <c r="C30" s="23">
        <f>IF(B30&lt;&gt;0,IF(COUNTIF('D01'!$D$8:$M$8,"="&amp;$D$16)=0,"Invalid diameter",$D$16),0)</f>
        <v>11</v>
      </c>
      <c r="D30" s="24">
        <f ca="1">IF(B30&lt;&gt;0,IF(C30="Invalid diameter",0,VLOOKUP($D$16,INDIRECT('D01'!$C$8),B30+1,FALSE)),0)</f>
        <v>11.4</v>
      </c>
      <c r="E30" s="24">
        <f t="shared" ca="1" si="0"/>
        <v>7</v>
      </c>
      <c r="F30" s="25">
        <f t="shared" ca="1" si="1"/>
        <v>0.6</v>
      </c>
      <c r="G30" s="25">
        <f t="shared" ca="1" si="2"/>
        <v>0.46177784523679577</v>
      </c>
      <c r="H30" s="26">
        <f t="shared" ca="1" si="3"/>
        <v>0.13822215476320421</v>
      </c>
      <c r="I30" s="35"/>
    </row>
    <row r="31" spans="2:9" ht="14.1" customHeight="1" x14ac:dyDescent="0.25">
      <c r="B31" s="22">
        <f>IF('D01'!B8&gt;=8,8,0)</f>
        <v>8</v>
      </c>
      <c r="C31" s="23">
        <f>IF(B31&lt;&gt;0,IF(COUNTIF('D01'!$D$8:$M$8,"="&amp;$D$16)=0,"Invalid diameter",$D$16),0)</f>
        <v>11</v>
      </c>
      <c r="D31" s="24">
        <f ca="1">IF(B31&lt;&gt;0,IF(C31="Invalid diameter",0,VLOOKUP($D$16,INDIRECT('D01'!$C$8),B31+1,FALSE)),0)</f>
        <v>11.5</v>
      </c>
      <c r="E31" s="24">
        <f t="shared" ca="1" si="0"/>
        <v>7</v>
      </c>
      <c r="F31" s="25">
        <f t="shared" ca="1" si="1"/>
        <v>0.6</v>
      </c>
      <c r="G31" s="25">
        <f t="shared" ca="1" si="2"/>
        <v>0.45422036620470152</v>
      </c>
      <c r="H31" s="26">
        <f t="shared" ca="1" si="3"/>
        <v>0.14577963379529846</v>
      </c>
      <c r="I31" s="35"/>
    </row>
    <row r="32" spans="2:9" ht="14.1" customHeight="1" x14ac:dyDescent="0.25">
      <c r="B32" s="22">
        <f>IF('D01'!B8&gt;=9,9,0)</f>
        <v>9</v>
      </c>
      <c r="C32" s="23">
        <f>IF(B32&lt;&gt;0,IF(COUNTIF('D01'!$D$8:$M$8,"="&amp;$D$16)=0,"Invalid diameter",$D$16),0)</f>
        <v>11</v>
      </c>
      <c r="D32" s="24">
        <f ca="1">IF(B32&lt;&gt;0,IF(C32="Invalid diameter",0,VLOOKUP($D$16,INDIRECT('D01'!$C$8),B32+1,FALSE)),0)</f>
        <v>11.7</v>
      </c>
      <c r="E32" s="24">
        <f t="shared" ca="1" si="0"/>
        <v>7</v>
      </c>
      <c r="F32" s="25">
        <f t="shared" ca="1" si="1"/>
        <v>0.6</v>
      </c>
      <c r="G32" s="25">
        <f t="shared" ca="1" si="2"/>
        <v>0.43943865771704438</v>
      </c>
      <c r="H32" s="26">
        <f t="shared" ca="1" si="3"/>
        <v>0.1605613422829556</v>
      </c>
      <c r="I32" s="35"/>
    </row>
    <row r="33" spans="2:9" ht="14.1" customHeight="1" x14ac:dyDescent="0.25">
      <c r="B33" s="22">
        <f>IF('D01'!B8&gt;=10,10,0)</f>
        <v>10</v>
      </c>
      <c r="C33" s="23">
        <f>IF(B33&lt;&gt;0,IF(COUNTIF('D01'!$D$8:$M$8,"="&amp;$D$16)=0,"Invalid diameter",$D$16),0)</f>
        <v>11</v>
      </c>
      <c r="D33" s="24">
        <f ca="1">IF(B33&lt;&gt;0,IF(C33="Invalid diameter",0,VLOOKUP($D$16,INDIRECT('D01'!$C$8),B33+1,FALSE)),0)</f>
        <v>11.8</v>
      </c>
      <c r="E33" s="24">
        <f t="shared" ca="1" si="0"/>
        <v>7</v>
      </c>
      <c r="F33" s="25">
        <f t="shared" ca="1" si="1"/>
        <v>0.6</v>
      </c>
      <c r="G33" s="25">
        <f t="shared" ca="1" si="2"/>
        <v>0.43220994342131469</v>
      </c>
      <c r="H33" s="26">
        <f t="shared" ca="1" si="3"/>
        <v>0.16779005657868529</v>
      </c>
      <c r="I33" s="35"/>
    </row>
    <row r="34" spans="2:9" ht="14.1" customHeight="1" x14ac:dyDescent="0.25">
      <c r="B34" s="22">
        <f>IF('D01'!B8&gt;=11,11,0)</f>
        <v>11</v>
      </c>
      <c r="C34" s="23">
        <f>IF(B34&lt;&gt;0,IF(COUNTIF('D01'!$D$8:$M$8,"="&amp;$D$16)=0,"Invalid diameter",$D$16),0)</f>
        <v>11</v>
      </c>
      <c r="D34" s="24">
        <f ca="1">IF(B34&lt;&gt;0,IF(C34="Invalid diameter",0,VLOOKUP($D$16,INDIRECT('D01'!$C$8),B34+1,FALSE)),0)</f>
        <v>11.9</v>
      </c>
      <c r="E34" s="24">
        <f t="shared" ca="1" si="0"/>
        <v>7</v>
      </c>
      <c r="F34" s="25">
        <f t="shared" ca="1" si="1"/>
        <v>0.6</v>
      </c>
      <c r="G34" s="25">
        <f t="shared" ca="1" si="2"/>
        <v>0.42508642340964276</v>
      </c>
      <c r="H34" s="26">
        <f t="shared" ca="1" si="3"/>
        <v>0.17491357659035722</v>
      </c>
      <c r="I34" s="35"/>
    </row>
    <row r="35" spans="2:9" ht="14.1" customHeight="1" x14ac:dyDescent="0.25">
      <c r="B35" s="22">
        <f>IF('D01'!B8&gt;=12,12,0)</f>
        <v>0</v>
      </c>
      <c r="C35" s="23">
        <f>IF(B35&lt;&gt;0,IF(COUNTIF('D01'!$D$8:$M$8,"="&amp;$D$16)=0,"Invalid diameter",$D$16),0)</f>
        <v>0</v>
      </c>
      <c r="D35" s="24">
        <f ca="1">IF(B35&lt;&gt;0,IF(C35="Invalid diameter",0,VLOOKUP($D$16,INDIRECT('D01'!$C$8),B35+1,FALSE)),0)</f>
        <v>0</v>
      </c>
      <c r="E35" s="24">
        <f t="shared" ca="1" si="0"/>
        <v>0</v>
      </c>
      <c r="F35" s="25">
        <f t="shared" ca="1" si="1"/>
        <v>0</v>
      </c>
      <c r="G35" s="25">
        <f t="shared" ca="1" si="2"/>
        <v>0</v>
      </c>
      <c r="H35" s="26">
        <f t="shared" ca="1" si="3"/>
        <v>0</v>
      </c>
      <c r="I35" s="35"/>
    </row>
    <row r="37" spans="2:9" ht="14.1" customHeight="1" x14ac:dyDescent="0.25">
      <c r="C37" s="7" t="s">
        <v>15</v>
      </c>
      <c r="D37" s="3" t="s">
        <v>40</v>
      </c>
    </row>
    <row r="38" spans="2:9" ht="14.1" customHeight="1" x14ac:dyDescent="0.25">
      <c r="C38" s="7"/>
      <c r="D38" s="3" t="s">
        <v>32</v>
      </c>
    </row>
    <row r="39" spans="2:9" ht="14.1" customHeight="1" x14ac:dyDescent="0.25">
      <c r="C39" s="7"/>
      <c r="D39" s="27" t="s">
        <v>39</v>
      </c>
    </row>
    <row r="40" spans="2:9" ht="14.1" customHeight="1" x14ac:dyDescent="0.25">
      <c r="D40" s="3" t="s">
        <v>33</v>
      </c>
    </row>
    <row r="42" spans="2:9" ht="14.1" customHeight="1" x14ac:dyDescent="0.25">
      <c r="B42" s="3" t="s">
        <v>28</v>
      </c>
      <c r="I42" s="4" t="s">
        <v>27</v>
      </c>
    </row>
  </sheetData>
  <sheetProtection algorithmName="SHA-512" hashValue="XNdiJDNvaUz6FclaRXWYw2rGn7by7Bvsk5IJ7f7odEeNnMd9yCRlzIiwPT6fUFihX0F5U/FkCZCJc3eeXu3rQw==" saltValue="n9zgCWN2ULVB3YAi3RE9aA==" spinCount="100000" sheet="1" objects="1" scenarios="1" selectLockedCells="1"/>
  <mergeCells count="2">
    <mergeCell ref="F20:H20"/>
    <mergeCell ref="B7:I7"/>
  </mergeCells>
  <conditionalFormatting sqref="B24:C35 E24:I35">
    <cfRule type="expression" dxfId="2" priority="2">
      <formula>$I24="y"</formula>
    </cfRule>
  </conditionalFormatting>
  <conditionalFormatting sqref="D16">
    <cfRule type="expression" dxfId="1" priority="3">
      <formula>$C$24="Invalid diameter"</formula>
    </cfRule>
  </conditionalFormatting>
  <conditionalFormatting sqref="D24:D35">
    <cfRule type="expression" dxfId="0" priority="1">
      <formula>$I24="y"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Open the dropdown menu and select the type of oboe" xr:uid="{CB22999E-1C31-4808-8AA8-AA9293FF4AB9}">
          <x14:formula1>
            <xm:f>'D01'!$A$1:$A$6</xm:f>
          </x14:formula1>
          <xm:sqref>D15</xm:sqref>
        </x14:dataValidation>
        <x14:dataValidation type="list" allowBlank="1" showInputMessage="1" showErrorMessage="1" error="Cane (bed) diameter outr of range" prompt="Open the dropdown menu and select the cane diameter" xr:uid="{237DF796-026A-4ABE-BAE0-34B1447C6C78}">
          <x14:formula1>
            <xm:f>INDIRECT('D01'!$D$8)</xm:f>
          </x14:formula1>
          <xm:sqref>D16</xm:sqref>
        </x14:dataValidation>
        <x14:dataValidation type="list" allowBlank="1" showInputMessage="1" showErrorMessage="1" prompt="Place a &quot;y&quot; in this cell to highlight this option, otherwise leave it empty" xr:uid="{D46DBA09-F284-4D9F-BADD-DA202F380B05}">
          <x14:formula1>
            <xm:f>'D01'!$A$48</xm:f>
          </x14:formula1>
          <xm:sqref>I24:I35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C64BD-8724-4430-A90B-C567CAE0CC76}">
  <dimension ref="A1:N48"/>
  <sheetViews>
    <sheetView workbookViewId="0">
      <selection activeCell="B10" sqref="B10"/>
    </sheetView>
  </sheetViews>
  <sheetFormatPr defaultRowHeight="14.1" customHeight="1" x14ac:dyDescent="0.25"/>
  <cols>
    <col min="1" max="13" width="15.7109375" style="1" customWidth="1"/>
    <col min="14" max="16384" width="9.140625" style="1"/>
  </cols>
  <sheetData>
    <row r="1" spans="1:14" ht="14.1" customHeight="1" x14ac:dyDescent="0.25">
      <c r="A1" s="1" t="s">
        <v>8</v>
      </c>
      <c r="B1" s="1">
        <v>11</v>
      </c>
      <c r="C1" s="1" t="str">
        <f>"'D01'!$A$12:$M$16"</f>
        <v>'D01'!$A$12:$M$16</v>
      </c>
      <c r="D1" s="1" t="str">
        <f>"'D01'!$E$8:$I$8"</f>
        <v>'D01'!$E$8:$I$8</v>
      </c>
      <c r="E1" s="2">
        <v>9.5</v>
      </c>
      <c r="F1" s="2">
        <v>10</v>
      </c>
      <c r="G1" s="2">
        <v>10.5</v>
      </c>
      <c r="H1" s="2">
        <v>11</v>
      </c>
      <c r="I1" s="2">
        <v>11.5</v>
      </c>
      <c r="J1" s="2"/>
      <c r="K1" s="2"/>
      <c r="N1" s="2"/>
    </row>
    <row r="2" spans="1:14" ht="14.1" customHeight="1" x14ac:dyDescent="0.25">
      <c r="A2" s="1" t="s">
        <v>9</v>
      </c>
      <c r="B2" s="1">
        <v>5</v>
      </c>
      <c r="C2" s="1" t="str">
        <f>"'D01'!$A$19:$M$23"</f>
        <v>'D01'!$A$19:$M$23</v>
      </c>
      <c r="D2" s="1" t="str">
        <f>"'D01'!$E$8:$I$8"</f>
        <v>'D01'!$E$8:$I$8</v>
      </c>
      <c r="E2" s="2">
        <v>11.5</v>
      </c>
      <c r="F2" s="2">
        <v>12</v>
      </c>
      <c r="G2" s="2">
        <v>12.5</v>
      </c>
      <c r="H2" s="2">
        <v>13</v>
      </c>
      <c r="I2" s="2">
        <v>13.5</v>
      </c>
      <c r="J2" s="2"/>
      <c r="K2" s="2"/>
      <c r="N2" s="2"/>
    </row>
    <row r="3" spans="1:14" ht="14.1" customHeight="1" x14ac:dyDescent="0.25">
      <c r="A3" s="1" t="s">
        <v>10</v>
      </c>
      <c r="B3" s="1">
        <v>6</v>
      </c>
      <c r="C3" s="1" t="str">
        <f>"'D01'!$A$26:$M$28"</f>
        <v>'D01'!$A$26:$M$28</v>
      </c>
      <c r="D3" s="1" t="str">
        <f>"'D01'!$E$8:$G$8"</f>
        <v>'D01'!$E$8:$G$8</v>
      </c>
      <c r="E3" s="2">
        <v>10.5</v>
      </c>
      <c r="F3" s="2">
        <v>11</v>
      </c>
      <c r="G3" s="2">
        <v>11.5</v>
      </c>
      <c r="H3" s="2"/>
      <c r="I3" s="2"/>
      <c r="J3" s="2"/>
      <c r="K3" s="2"/>
      <c r="L3" s="2"/>
      <c r="M3" s="2"/>
      <c r="N3" s="2"/>
    </row>
    <row r="4" spans="1:14" ht="14.1" customHeight="1" x14ac:dyDescent="0.25">
      <c r="A4" s="1" t="s">
        <v>11</v>
      </c>
      <c r="B4" s="1">
        <v>2</v>
      </c>
      <c r="C4" s="1" t="str">
        <f>"'D01'!$A$31:$M$32"</f>
        <v>'D01'!$A$31:$M$32</v>
      </c>
      <c r="D4" s="1" t="str">
        <f>"'D01'!$E$8:$F$8"</f>
        <v>'D01'!$E$8:$F$8</v>
      </c>
      <c r="E4" s="2">
        <v>11.5</v>
      </c>
      <c r="F4" s="2">
        <v>12.5</v>
      </c>
      <c r="G4" s="2"/>
      <c r="H4" s="2"/>
      <c r="I4" s="2"/>
      <c r="J4" s="2"/>
      <c r="K4" s="2"/>
      <c r="L4" s="2"/>
      <c r="M4" s="2"/>
      <c r="N4" s="2"/>
    </row>
    <row r="5" spans="1:14" ht="14.1" customHeight="1" x14ac:dyDescent="0.25">
      <c r="A5" s="1" t="s">
        <v>12</v>
      </c>
      <c r="B5" s="1">
        <v>8</v>
      </c>
      <c r="C5" s="1" t="str">
        <f>"'D01'!$A$35:$M$41"</f>
        <v>'D01'!$A$35:$M$41</v>
      </c>
      <c r="D5" s="1" t="str">
        <f>"'D01'!$E$8:$K$8"</f>
        <v>'D01'!$E$8:$K$8</v>
      </c>
      <c r="E5" s="2">
        <v>13</v>
      </c>
      <c r="F5" s="2">
        <v>13.5</v>
      </c>
      <c r="G5" s="2">
        <v>14</v>
      </c>
      <c r="H5" s="2">
        <v>14.5</v>
      </c>
      <c r="I5" s="2">
        <v>15</v>
      </c>
      <c r="J5" s="2">
        <v>15.5</v>
      </c>
      <c r="K5" s="2">
        <v>16</v>
      </c>
      <c r="L5" s="2"/>
      <c r="M5" s="2"/>
      <c r="N5" s="2"/>
    </row>
    <row r="6" spans="1:14" ht="14.1" customHeight="1" x14ac:dyDescent="0.25">
      <c r="A6" s="1" t="s">
        <v>13</v>
      </c>
      <c r="B6" s="1">
        <v>5</v>
      </c>
      <c r="C6" s="1" t="str">
        <f>"'D01'!$A$44:$M$46"</f>
        <v>'D01'!$A$44:$M$46</v>
      </c>
      <c r="D6" s="1" t="str">
        <f>"'D01'!$E$8:$G$8"</f>
        <v>'D01'!$E$8:$G$8</v>
      </c>
      <c r="E6" s="2">
        <v>15</v>
      </c>
      <c r="F6" s="2">
        <v>15.5</v>
      </c>
      <c r="G6" s="2">
        <v>16</v>
      </c>
      <c r="H6" s="2"/>
      <c r="I6" s="2"/>
      <c r="J6" s="2"/>
      <c r="K6" s="2"/>
      <c r="L6" s="2"/>
      <c r="M6" s="2"/>
      <c r="N6" s="2"/>
    </row>
    <row r="7" spans="1:14" ht="14.1" customHeight="1" x14ac:dyDescent="0.25"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4.1" customHeight="1" x14ac:dyDescent="0.25">
      <c r="A8" s="1" t="str">
        <f>VLOOKUP(OB!D15,$A$1:$N$6,1,FALSE)</f>
        <v>Oboe</v>
      </c>
      <c r="B8" s="1">
        <f>VLOOKUP(OB!D15,$A$1:$N$6,2,FALSE)</f>
        <v>11</v>
      </c>
      <c r="C8" s="2" t="str">
        <f>VLOOKUP(OB!D15,$A$1:$N$6,3,FALSE)</f>
        <v>'D01'!$A$12:$M$16</v>
      </c>
      <c r="D8" s="1" t="str">
        <f>VLOOKUP(OB!D15,$A$1:$N$6,4,FALSE)</f>
        <v>'D01'!$E$8:$I$8</v>
      </c>
      <c r="E8" s="2">
        <f>VLOOKUP(OB!D15,$A$1:$N$6,5,FALSE)</f>
        <v>9.5</v>
      </c>
      <c r="F8" s="2">
        <f>VLOOKUP(OB!D15,$A$1:$N$6,6,FALSE)</f>
        <v>10</v>
      </c>
      <c r="G8" s="2">
        <f>VLOOKUP(OB!D15,$A$1:$N$6,7,FALSE)</f>
        <v>10.5</v>
      </c>
      <c r="H8" s="2">
        <f>VLOOKUP(OB!D15,$A$1:$N$6,8,FALSE)</f>
        <v>11</v>
      </c>
      <c r="I8" s="2">
        <f>VLOOKUP(OB!D15,$A$1:$N$6,9,FALSE)</f>
        <v>11.5</v>
      </c>
      <c r="J8" s="2">
        <f>VLOOKUP(OB!D15,$A$1:$N$6,10,FALSE)</f>
        <v>0</v>
      </c>
      <c r="K8" s="2">
        <f>VLOOKUP(OB!D15,$A$1:$N$6,11,FALSE)</f>
        <v>0</v>
      </c>
      <c r="L8" s="2">
        <f>VLOOKUP(OB!D15,$A$1:$N$6,12,FALSE)</f>
        <v>0</v>
      </c>
      <c r="M8" s="2">
        <f>VLOOKUP(OB!D15,$A$1:$N$6,13,FALSE)</f>
        <v>0</v>
      </c>
    </row>
    <row r="9" spans="1:14" ht="14.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1" spans="1:14" ht="14.1" customHeight="1" x14ac:dyDescent="0.25">
      <c r="A11" s="1" t="s">
        <v>8</v>
      </c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</row>
    <row r="12" spans="1:14" ht="14.1" customHeight="1" x14ac:dyDescent="0.25">
      <c r="A12" s="2">
        <v>9.5</v>
      </c>
      <c r="B12" s="2">
        <v>10</v>
      </c>
      <c r="C12" s="2">
        <v>10.3</v>
      </c>
      <c r="D12" s="2">
        <v>10.5</v>
      </c>
      <c r="E12" s="2">
        <v>10.7</v>
      </c>
      <c r="F12" s="2">
        <v>11</v>
      </c>
      <c r="G12" s="2">
        <v>11.3</v>
      </c>
      <c r="H12" s="2">
        <v>11.4</v>
      </c>
      <c r="I12" s="2">
        <v>11.5</v>
      </c>
      <c r="J12" s="2">
        <v>11.7</v>
      </c>
      <c r="K12" s="2">
        <v>11.8</v>
      </c>
      <c r="L12" s="2">
        <v>11.9</v>
      </c>
    </row>
    <row r="13" spans="1:14" ht="14.1" customHeight="1" x14ac:dyDescent="0.25">
      <c r="A13" s="2">
        <v>10</v>
      </c>
      <c r="B13" s="2">
        <v>10</v>
      </c>
      <c r="C13" s="2">
        <v>10.3</v>
      </c>
      <c r="D13" s="2">
        <v>10.5</v>
      </c>
      <c r="E13" s="2">
        <v>10.7</v>
      </c>
      <c r="F13" s="2">
        <v>11</v>
      </c>
      <c r="G13" s="2">
        <v>11.3</v>
      </c>
      <c r="H13" s="2">
        <v>11.4</v>
      </c>
      <c r="I13" s="2">
        <v>11.5</v>
      </c>
      <c r="J13" s="2">
        <v>11.7</v>
      </c>
      <c r="K13" s="2">
        <v>11.8</v>
      </c>
      <c r="L13" s="2">
        <v>11.9</v>
      </c>
    </row>
    <row r="14" spans="1:14" ht="14.1" customHeight="1" x14ac:dyDescent="0.25">
      <c r="A14" s="2">
        <v>10.5</v>
      </c>
      <c r="B14" s="2">
        <v>10</v>
      </c>
      <c r="C14" s="2">
        <v>10.3</v>
      </c>
      <c r="D14" s="2">
        <v>10.5</v>
      </c>
      <c r="E14" s="2">
        <v>10.7</v>
      </c>
      <c r="F14" s="2">
        <v>11</v>
      </c>
      <c r="G14" s="2">
        <v>11.3</v>
      </c>
      <c r="H14" s="2">
        <v>11.4</v>
      </c>
      <c r="I14" s="2">
        <v>11.5</v>
      </c>
      <c r="J14" s="2">
        <v>11.7</v>
      </c>
      <c r="K14" s="2">
        <v>11.8</v>
      </c>
      <c r="L14" s="2">
        <v>11.9</v>
      </c>
    </row>
    <row r="15" spans="1:14" ht="14.1" customHeight="1" x14ac:dyDescent="0.25">
      <c r="A15" s="2">
        <v>11</v>
      </c>
      <c r="B15" s="2">
        <v>10</v>
      </c>
      <c r="C15" s="2">
        <v>10.3</v>
      </c>
      <c r="D15" s="2">
        <v>10.5</v>
      </c>
      <c r="E15" s="2">
        <v>10.7</v>
      </c>
      <c r="F15" s="2">
        <v>11</v>
      </c>
      <c r="G15" s="2">
        <v>11.3</v>
      </c>
      <c r="H15" s="2">
        <v>11.4</v>
      </c>
      <c r="I15" s="2">
        <v>11.5</v>
      </c>
      <c r="J15" s="2">
        <v>11.7</v>
      </c>
      <c r="K15" s="2">
        <v>11.8</v>
      </c>
      <c r="L15" s="2">
        <v>11.9</v>
      </c>
    </row>
    <row r="16" spans="1:14" ht="14.1" customHeight="1" x14ac:dyDescent="0.25">
      <c r="A16" s="2">
        <v>11.5</v>
      </c>
      <c r="B16" s="2">
        <v>10</v>
      </c>
      <c r="C16" s="2">
        <v>10.3</v>
      </c>
      <c r="D16" s="2">
        <v>10.5</v>
      </c>
      <c r="E16" s="2">
        <v>10.7</v>
      </c>
      <c r="F16" s="2">
        <v>11</v>
      </c>
      <c r="G16" s="2">
        <v>11.3</v>
      </c>
      <c r="H16" s="2">
        <v>11.4</v>
      </c>
      <c r="I16" s="2">
        <v>11.5</v>
      </c>
      <c r="J16" s="2">
        <v>11.7</v>
      </c>
      <c r="K16" s="2">
        <v>11.8</v>
      </c>
      <c r="L16" s="2">
        <v>11.9</v>
      </c>
    </row>
    <row r="18" spans="1:13" ht="14.1" customHeight="1" x14ac:dyDescent="0.25">
      <c r="A18" s="1" t="s">
        <v>9</v>
      </c>
      <c r="B18" s="1">
        <v>1</v>
      </c>
      <c r="C18" s="1">
        <v>2</v>
      </c>
      <c r="D18" s="1">
        <v>3</v>
      </c>
      <c r="E18" s="1">
        <v>4</v>
      </c>
      <c r="F18" s="1">
        <v>5</v>
      </c>
      <c r="G18" s="1">
        <v>6</v>
      </c>
      <c r="H18" s="1">
        <v>7</v>
      </c>
      <c r="I18" s="1">
        <v>8</v>
      </c>
      <c r="J18" s="1">
        <v>9</v>
      </c>
      <c r="K18" s="1">
        <v>10</v>
      </c>
      <c r="L18" s="1">
        <v>11</v>
      </c>
      <c r="M18" s="1">
        <v>12</v>
      </c>
    </row>
    <row r="19" spans="1:13" ht="14.1" customHeight="1" x14ac:dyDescent="0.25">
      <c r="A19" s="2">
        <v>11.5</v>
      </c>
      <c r="B19" s="2">
        <v>11.9</v>
      </c>
      <c r="C19" s="2">
        <v>12</v>
      </c>
      <c r="D19" s="2">
        <v>12.5</v>
      </c>
      <c r="E19" s="2">
        <v>13</v>
      </c>
      <c r="F19" s="2">
        <v>13.5</v>
      </c>
      <c r="G19" s="2"/>
      <c r="H19" s="2"/>
      <c r="I19" s="2"/>
      <c r="J19" s="2"/>
      <c r="K19" s="2"/>
      <c r="L19" s="2"/>
    </row>
    <row r="20" spans="1:13" ht="14.1" customHeight="1" x14ac:dyDescent="0.25">
      <c r="A20" s="2">
        <v>12</v>
      </c>
      <c r="B20" s="2">
        <v>11.9</v>
      </c>
      <c r="C20" s="2">
        <v>12</v>
      </c>
      <c r="D20" s="2">
        <v>12.5</v>
      </c>
      <c r="E20" s="2">
        <v>13</v>
      </c>
      <c r="F20" s="2">
        <v>13.5</v>
      </c>
      <c r="G20" s="2"/>
      <c r="H20" s="2"/>
      <c r="I20" s="2"/>
      <c r="J20" s="2"/>
      <c r="K20" s="2"/>
      <c r="L20" s="2"/>
    </row>
    <row r="21" spans="1:13" ht="14.1" customHeight="1" x14ac:dyDescent="0.25">
      <c r="A21" s="2">
        <v>12.5</v>
      </c>
      <c r="B21" s="2">
        <v>11.9</v>
      </c>
      <c r="C21" s="2">
        <v>12</v>
      </c>
      <c r="D21" s="2">
        <v>12.5</v>
      </c>
      <c r="E21" s="2">
        <v>13</v>
      </c>
      <c r="F21" s="2">
        <v>13.5</v>
      </c>
      <c r="G21" s="2"/>
      <c r="H21" s="2"/>
      <c r="I21" s="2"/>
      <c r="J21" s="2"/>
      <c r="K21" s="2"/>
      <c r="L21" s="2"/>
    </row>
    <row r="22" spans="1:13" ht="14.1" customHeight="1" x14ac:dyDescent="0.25">
      <c r="A22" s="2">
        <v>13</v>
      </c>
      <c r="B22" s="2">
        <v>11.9</v>
      </c>
      <c r="C22" s="2">
        <v>12</v>
      </c>
      <c r="D22" s="2">
        <v>12.5</v>
      </c>
      <c r="E22" s="2">
        <v>13</v>
      </c>
      <c r="F22" s="2">
        <v>13.5</v>
      </c>
      <c r="G22" s="2"/>
      <c r="H22" s="2"/>
      <c r="I22" s="2"/>
      <c r="J22" s="2"/>
      <c r="K22" s="2"/>
      <c r="L22" s="2"/>
    </row>
    <row r="23" spans="1:13" ht="14.1" customHeight="1" x14ac:dyDescent="0.25">
      <c r="A23" s="2">
        <v>13.5</v>
      </c>
      <c r="B23" s="2">
        <v>11.9</v>
      </c>
      <c r="C23" s="2">
        <v>12</v>
      </c>
      <c r="D23" s="2">
        <v>12.5</v>
      </c>
      <c r="E23" s="2">
        <v>13</v>
      </c>
      <c r="F23" s="2">
        <v>13.5</v>
      </c>
      <c r="G23" s="2"/>
      <c r="H23" s="2"/>
      <c r="I23" s="2"/>
      <c r="J23" s="2"/>
      <c r="K23" s="2"/>
      <c r="L23" s="2"/>
    </row>
    <row r="25" spans="1:13" ht="14.1" customHeight="1" x14ac:dyDescent="0.25">
      <c r="A25" s="1" t="s">
        <v>10</v>
      </c>
      <c r="B25" s="1">
        <v>1</v>
      </c>
      <c r="C25" s="1">
        <v>2</v>
      </c>
      <c r="D25" s="1">
        <v>3</v>
      </c>
      <c r="E25" s="1">
        <v>4</v>
      </c>
      <c r="F25" s="1">
        <v>5</v>
      </c>
      <c r="G25" s="1">
        <v>6</v>
      </c>
      <c r="H25" s="1">
        <v>7</v>
      </c>
      <c r="I25" s="1">
        <v>8</v>
      </c>
      <c r="J25" s="1">
        <v>9</v>
      </c>
      <c r="K25" s="1">
        <v>10</v>
      </c>
      <c r="L25" s="1">
        <v>11</v>
      </c>
      <c r="M25" s="1">
        <v>12</v>
      </c>
    </row>
    <row r="26" spans="1:13" ht="14.1" customHeight="1" x14ac:dyDescent="0.25">
      <c r="A26" s="2">
        <v>10.5</v>
      </c>
      <c r="B26" s="2">
        <v>11.4</v>
      </c>
      <c r="C26" s="2">
        <v>11.5</v>
      </c>
      <c r="D26" s="2">
        <v>11.7</v>
      </c>
      <c r="E26" s="2">
        <v>11.8</v>
      </c>
      <c r="F26" s="2">
        <v>11.9</v>
      </c>
      <c r="G26" s="2">
        <v>12</v>
      </c>
      <c r="H26" s="2"/>
      <c r="I26" s="2"/>
      <c r="J26" s="2"/>
      <c r="K26" s="2"/>
      <c r="L26" s="2"/>
    </row>
    <row r="27" spans="1:13" ht="14.1" customHeight="1" x14ac:dyDescent="0.25">
      <c r="A27" s="2">
        <v>11</v>
      </c>
      <c r="B27" s="2">
        <v>11.4</v>
      </c>
      <c r="C27" s="2">
        <v>11.5</v>
      </c>
      <c r="D27" s="2">
        <v>11.7</v>
      </c>
      <c r="E27" s="2">
        <v>11.8</v>
      </c>
      <c r="F27" s="2">
        <v>11.9</v>
      </c>
      <c r="G27" s="2">
        <v>12</v>
      </c>
      <c r="H27" s="2"/>
      <c r="I27" s="2"/>
      <c r="J27" s="2"/>
      <c r="K27" s="2"/>
      <c r="L27" s="2"/>
    </row>
    <row r="28" spans="1:13" ht="14.1" customHeight="1" x14ac:dyDescent="0.25">
      <c r="A28" s="2">
        <v>11.5</v>
      </c>
      <c r="B28" s="2">
        <v>11.4</v>
      </c>
      <c r="C28" s="2">
        <v>11.5</v>
      </c>
      <c r="D28" s="2">
        <v>11.7</v>
      </c>
      <c r="E28" s="2">
        <v>11.8</v>
      </c>
      <c r="F28" s="2">
        <v>11.9</v>
      </c>
      <c r="G28" s="2">
        <v>12</v>
      </c>
      <c r="H28" s="2"/>
      <c r="I28" s="2"/>
      <c r="J28" s="2"/>
      <c r="K28" s="2"/>
      <c r="L28" s="2"/>
    </row>
    <row r="30" spans="1:13" ht="14.1" customHeight="1" x14ac:dyDescent="0.25">
      <c r="A30" s="1" t="s">
        <v>11</v>
      </c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ht="14.1" customHeight="1" x14ac:dyDescent="0.25">
      <c r="A31" s="2">
        <v>11.5</v>
      </c>
      <c r="B31" s="2">
        <v>12.5</v>
      </c>
      <c r="C31" s="2">
        <v>13</v>
      </c>
      <c r="D31" s="2"/>
      <c r="E31" s="2"/>
      <c r="F31" s="2"/>
      <c r="G31" s="2"/>
      <c r="H31" s="2"/>
      <c r="I31" s="2"/>
      <c r="J31" s="2"/>
      <c r="K31" s="2"/>
      <c r="L31" s="2"/>
    </row>
    <row r="32" spans="1:13" ht="14.1" customHeight="1" x14ac:dyDescent="0.25">
      <c r="A32" s="2">
        <v>12.5</v>
      </c>
      <c r="B32" s="2">
        <v>12.5</v>
      </c>
      <c r="C32" s="2">
        <v>13</v>
      </c>
      <c r="D32" s="2"/>
      <c r="E32" s="2"/>
      <c r="F32" s="2"/>
      <c r="G32" s="2"/>
      <c r="H32" s="2"/>
      <c r="I32" s="2"/>
      <c r="J32" s="2"/>
      <c r="K32" s="2"/>
      <c r="L32" s="2"/>
    </row>
    <row r="34" spans="1:13" ht="14.1" customHeight="1" x14ac:dyDescent="0.25">
      <c r="A34" s="1" t="s">
        <v>12</v>
      </c>
      <c r="B34" s="1">
        <v>1</v>
      </c>
      <c r="C34" s="1">
        <v>2</v>
      </c>
      <c r="D34" s="1">
        <v>3</v>
      </c>
      <c r="E34" s="1">
        <v>4</v>
      </c>
      <c r="F34" s="1">
        <v>5</v>
      </c>
      <c r="G34" s="1">
        <v>6</v>
      </c>
      <c r="H34" s="1">
        <v>7</v>
      </c>
      <c r="I34" s="1">
        <v>8</v>
      </c>
      <c r="J34" s="1">
        <v>9</v>
      </c>
      <c r="K34" s="1">
        <v>10</v>
      </c>
      <c r="L34" s="1">
        <v>11</v>
      </c>
      <c r="M34" s="1">
        <v>12</v>
      </c>
    </row>
    <row r="35" spans="1:13" ht="14.1" customHeight="1" x14ac:dyDescent="0.25">
      <c r="A35" s="2">
        <v>13</v>
      </c>
      <c r="B35" s="2">
        <v>13.5</v>
      </c>
      <c r="C35" s="2">
        <v>14</v>
      </c>
      <c r="D35" s="2">
        <v>14.5</v>
      </c>
      <c r="E35" s="2">
        <v>15</v>
      </c>
      <c r="F35" s="2">
        <v>15.5</v>
      </c>
      <c r="G35" s="2">
        <v>16</v>
      </c>
      <c r="H35" s="2">
        <v>16.5</v>
      </c>
      <c r="I35" s="2">
        <v>17</v>
      </c>
      <c r="J35" s="2"/>
      <c r="K35" s="2"/>
      <c r="L35" s="2"/>
    </row>
    <row r="36" spans="1:13" ht="14.1" customHeight="1" x14ac:dyDescent="0.25">
      <c r="A36" s="2">
        <v>13.5</v>
      </c>
      <c r="B36" s="2">
        <v>13.5</v>
      </c>
      <c r="C36" s="2">
        <v>14</v>
      </c>
      <c r="D36" s="2">
        <v>14.5</v>
      </c>
      <c r="E36" s="2">
        <v>15</v>
      </c>
      <c r="F36" s="2">
        <v>15.5</v>
      </c>
      <c r="G36" s="2">
        <v>16</v>
      </c>
      <c r="H36" s="2">
        <v>16.5</v>
      </c>
      <c r="I36" s="2">
        <v>17</v>
      </c>
      <c r="J36" s="2"/>
      <c r="K36" s="2"/>
      <c r="L36" s="2"/>
    </row>
    <row r="37" spans="1:13" ht="14.1" customHeight="1" x14ac:dyDescent="0.25">
      <c r="A37" s="2">
        <v>14</v>
      </c>
      <c r="B37" s="2">
        <v>13.5</v>
      </c>
      <c r="C37" s="2">
        <v>14</v>
      </c>
      <c r="D37" s="2">
        <v>14.5</v>
      </c>
      <c r="E37" s="2">
        <v>15</v>
      </c>
      <c r="F37" s="2">
        <v>15.5</v>
      </c>
      <c r="G37" s="2">
        <v>16</v>
      </c>
      <c r="H37" s="2">
        <v>16.5</v>
      </c>
      <c r="I37" s="2">
        <v>17</v>
      </c>
      <c r="J37" s="2"/>
      <c r="K37" s="2"/>
      <c r="L37" s="2"/>
    </row>
    <row r="38" spans="1:13" ht="14.1" customHeight="1" x14ac:dyDescent="0.25">
      <c r="A38" s="2">
        <v>14.5</v>
      </c>
      <c r="B38" s="2">
        <v>13.5</v>
      </c>
      <c r="C38" s="2">
        <v>14</v>
      </c>
      <c r="D38" s="2">
        <v>14.5</v>
      </c>
      <c r="E38" s="2">
        <v>15</v>
      </c>
      <c r="F38" s="2">
        <v>15.5</v>
      </c>
      <c r="G38" s="2">
        <v>16</v>
      </c>
      <c r="H38" s="2">
        <v>16.5</v>
      </c>
      <c r="I38" s="2">
        <v>17</v>
      </c>
      <c r="J38" s="2"/>
      <c r="K38" s="2"/>
      <c r="L38" s="2"/>
    </row>
    <row r="39" spans="1:13" ht="14.1" customHeight="1" x14ac:dyDescent="0.25">
      <c r="A39" s="2">
        <v>15</v>
      </c>
      <c r="B39" s="2">
        <v>13.5</v>
      </c>
      <c r="C39" s="2">
        <v>14</v>
      </c>
      <c r="D39" s="2">
        <v>14.5</v>
      </c>
      <c r="E39" s="2">
        <v>15</v>
      </c>
      <c r="F39" s="2">
        <v>15.5</v>
      </c>
      <c r="G39" s="2">
        <v>16</v>
      </c>
      <c r="H39" s="2">
        <v>16.5</v>
      </c>
      <c r="I39" s="2">
        <v>17</v>
      </c>
      <c r="J39" s="2"/>
      <c r="K39" s="2"/>
      <c r="L39" s="2"/>
    </row>
    <row r="40" spans="1:13" ht="14.1" customHeight="1" x14ac:dyDescent="0.25">
      <c r="A40" s="2">
        <v>15.5</v>
      </c>
      <c r="B40" s="2">
        <v>13.5</v>
      </c>
      <c r="C40" s="2">
        <v>14</v>
      </c>
      <c r="D40" s="2">
        <v>14.5</v>
      </c>
      <c r="E40" s="2">
        <v>15</v>
      </c>
      <c r="F40" s="2">
        <v>15.5</v>
      </c>
      <c r="G40" s="2">
        <v>16</v>
      </c>
      <c r="H40" s="2">
        <v>16.5</v>
      </c>
      <c r="I40" s="2">
        <v>17</v>
      </c>
      <c r="J40" s="2"/>
      <c r="K40" s="2"/>
      <c r="L40" s="2"/>
    </row>
    <row r="41" spans="1:13" ht="14.1" customHeight="1" x14ac:dyDescent="0.25">
      <c r="A41" s="2">
        <v>16</v>
      </c>
      <c r="B41" s="2">
        <v>13.5</v>
      </c>
      <c r="C41" s="2">
        <v>14</v>
      </c>
      <c r="D41" s="2">
        <v>14.5</v>
      </c>
      <c r="E41" s="2">
        <v>15</v>
      </c>
      <c r="F41" s="2">
        <v>15.5</v>
      </c>
      <c r="G41" s="2">
        <v>16</v>
      </c>
      <c r="H41" s="2">
        <v>16.5</v>
      </c>
      <c r="I41" s="2">
        <v>17</v>
      </c>
      <c r="J41" s="2"/>
      <c r="K41" s="2"/>
      <c r="L41" s="2"/>
    </row>
    <row r="43" spans="1:13" ht="14.1" customHeight="1" x14ac:dyDescent="0.25">
      <c r="A43" s="1" t="s">
        <v>13</v>
      </c>
      <c r="B43" s="1">
        <v>1</v>
      </c>
      <c r="C43" s="1">
        <v>2</v>
      </c>
      <c r="D43" s="1">
        <v>3</v>
      </c>
      <c r="E43" s="1">
        <v>4</v>
      </c>
      <c r="F43" s="1">
        <v>5</v>
      </c>
      <c r="G43" s="1">
        <v>6</v>
      </c>
      <c r="H43" s="1">
        <v>7</v>
      </c>
      <c r="I43" s="1">
        <v>8</v>
      </c>
      <c r="J43" s="1">
        <v>9</v>
      </c>
      <c r="K43" s="1">
        <v>10</v>
      </c>
      <c r="L43" s="1">
        <v>11</v>
      </c>
      <c r="M43" s="1">
        <v>12</v>
      </c>
    </row>
    <row r="44" spans="1:13" ht="14.1" customHeight="1" x14ac:dyDescent="0.25">
      <c r="A44" s="2">
        <v>15</v>
      </c>
      <c r="B44" s="2">
        <v>15.5</v>
      </c>
      <c r="C44" s="2">
        <v>16</v>
      </c>
      <c r="D44" s="2">
        <v>16.5</v>
      </c>
      <c r="E44" s="2">
        <v>17</v>
      </c>
      <c r="F44" s="2">
        <v>18</v>
      </c>
      <c r="G44" s="2"/>
      <c r="H44" s="2"/>
      <c r="I44" s="2"/>
      <c r="J44" s="2"/>
      <c r="K44" s="2"/>
      <c r="L44" s="2"/>
    </row>
    <row r="45" spans="1:13" ht="14.1" customHeight="1" x14ac:dyDescent="0.25">
      <c r="A45" s="2">
        <v>15.5</v>
      </c>
      <c r="B45" s="2">
        <v>15.5</v>
      </c>
      <c r="C45" s="2">
        <v>16</v>
      </c>
      <c r="D45" s="2">
        <v>16.5</v>
      </c>
      <c r="E45" s="2">
        <v>17</v>
      </c>
      <c r="F45" s="2">
        <v>18</v>
      </c>
      <c r="G45" s="2"/>
      <c r="H45" s="2"/>
      <c r="I45" s="2"/>
      <c r="J45" s="2"/>
      <c r="K45" s="2"/>
      <c r="L45" s="2"/>
    </row>
    <row r="46" spans="1:13" ht="14.1" customHeight="1" x14ac:dyDescent="0.25">
      <c r="A46" s="2">
        <v>16</v>
      </c>
      <c r="B46" s="2">
        <v>15.5</v>
      </c>
      <c r="C46" s="2">
        <v>16</v>
      </c>
      <c r="D46" s="2">
        <v>16.5</v>
      </c>
      <c r="E46" s="2">
        <v>17</v>
      </c>
      <c r="F46" s="2">
        <v>18</v>
      </c>
    </row>
    <row r="48" spans="1:13" ht="14.1" customHeight="1" x14ac:dyDescent="0.25">
      <c r="A48" s="1" t="s">
        <v>16</v>
      </c>
    </row>
  </sheetData>
  <sheetProtection algorithmName="SHA-512" hashValue="hcEbbLTgR/qtvo8MBQZB59VHwKgsCSpcW1RNTRhXX2mcCwYzqzGKB5Nx+MmTUSHavzqxLMVqUjSOnfyckAbFrQ==" saltValue="qqLnZvilvrApliwW1DW1JA==" spinCount="100000" sheet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</vt:lpstr>
      <vt:lpstr>D01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</dc:creator>
  <cp:lastModifiedBy>Arnold Telkamp</cp:lastModifiedBy>
  <cp:lastPrinted>2026-05-07T12:25:27Z</cp:lastPrinted>
  <dcterms:created xsi:type="dcterms:W3CDTF">2012-02-18T16:45:20Z</dcterms:created>
  <dcterms:modified xsi:type="dcterms:W3CDTF">2026-05-19T08:05:39Z</dcterms:modified>
</cp:coreProperties>
</file>