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nmail-my.sharepoint.com/personal/at_reedmachines_com/Documents/70-Information/30-Support/PI/017-Gouged bassoon cane calculator/"/>
    </mc:Choice>
  </mc:AlternateContent>
  <xr:revisionPtr revIDLastSave="3" documentId="8_{7BB5F0A9-9F6A-4011-B81B-70D278D240B0}" xr6:coauthVersionLast="47" xr6:coauthVersionMax="47" xr10:uidLastSave="{F7C6EBCE-DFA6-499C-BEF1-CD45C3A41782}"/>
  <workbookProtection workbookAlgorithmName="SHA-512" workbookHashValue="ohogfyodm2dd3uy5jIlFtz12i/DQ3PtapEwYZbxHrwFrA4wrCilDG5w/Zv14y7OsOtGhH6Ixy+T/swdKPxmimw==" workbookSaltValue="YP53xBrx7lNFfgCy8390Sw==" workbookSpinCount="100000" lockStructure="1"/>
  <bookViews>
    <workbookView xWindow="38280" yWindow="-120" windowWidth="38640" windowHeight="21120" xr2:uid="{00000000-000D-0000-FFFF-FFFF00000000}"/>
  </bookViews>
  <sheets>
    <sheet name="BA" sheetId="8" r:id="rId1"/>
    <sheet name="D01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" i="9" l="1"/>
  <c r="D3" i="9"/>
  <c r="D2" i="9"/>
  <c r="D1" i="9"/>
  <c r="C4" i="9"/>
  <c r="C3" i="9"/>
  <c r="C2" i="9"/>
  <c r="C1" i="9"/>
  <c r="D6" i="9"/>
  <c r="M6" i="9"/>
  <c r="A6" i="9"/>
  <c r="L6" i="9"/>
  <c r="H6" i="9"/>
  <c r="K6" i="9"/>
  <c r="J6" i="9"/>
  <c r="I6" i="9"/>
  <c r="G6" i="9"/>
  <c r="F6" i="9"/>
  <c r="E6" i="9"/>
  <c r="B6" i="9" l="1"/>
  <c r="C6" i="9"/>
  <c r="B35" i="8" l="1"/>
  <c r="B33" i="8"/>
  <c r="B32" i="8"/>
  <c r="B31" i="8"/>
  <c r="B30" i="8"/>
  <c r="B29" i="8"/>
  <c r="B28" i="8"/>
  <c r="B27" i="8"/>
  <c r="B26" i="8"/>
  <c r="B25" i="8"/>
  <c r="B34" i="8"/>
  <c r="B24" i="8"/>
  <c r="C35" i="8" l="1"/>
  <c r="D35" i="8"/>
  <c r="C33" i="8"/>
  <c r="D33" i="8"/>
  <c r="C32" i="8"/>
  <c r="D32" i="8"/>
  <c r="C31" i="8"/>
  <c r="D31" i="8"/>
  <c r="C30" i="8"/>
  <c r="D30" i="8"/>
  <c r="C29" i="8"/>
  <c r="D29" i="8"/>
  <c r="C28" i="8"/>
  <c r="D28" i="8"/>
  <c r="C27" i="8"/>
  <c r="D27" i="8"/>
  <c r="C26" i="8"/>
  <c r="D26" i="8"/>
  <c r="C25" i="8"/>
  <c r="D25" i="8"/>
  <c r="C34" i="8"/>
  <c r="D34" i="8"/>
  <c r="C24" i="8"/>
  <c r="D24" i="8"/>
  <c r="F35" i="8" l="1"/>
  <c r="E35" i="8"/>
  <c r="H35" i="8"/>
  <c r="G35" i="8"/>
  <c r="F33" i="8"/>
  <c r="E33" i="8"/>
  <c r="G33" i="8"/>
  <c r="H33" i="8" s="1"/>
  <c r="F32" i="8"/>
  <c r="E32" i="8"/>
  <c r="G32" i="8"/>
  <c r="H32" i="8" s="1"/>
  <c r="F31" i="8"/>
  <c r="E31" i="8"/>
  <c r="G31" i="8"/>
  <c r="H31" i="8" s="1"/>
  <c r="F30" i="8"/>
  <c r="E30" i="8"/>
  <c r="G30" i="8"/>
  <c r="H30" i="8" s="1"/>
  <c r="F29" i="8"/>
  <c r="E29" i="8"/>
  <c r="G29" i="8"/>
  <c r="H29" i="8" s="1"/>
  <c r="F28" i="8"/>
  <c r="E28" i="8"/>
  <c r="G28" i="8"/>
  <c r="H28" i="8" s="1"/>
  <c r="F27" i="8"/>
  <c r="E27" i="8"/>
  <c r="G27" i="8"/>
  <c r="H27" i="8" s="1"/>
  <c r="F26" i="8"/>
  <c r="E26" i="8"/>
  <c r="G26" i="8"/>
  <c r="H26" i="8" s="1"/>
  <c r="F25" i="8"/>
  <c r="E25" i="8"/>
  <c r="G25" i="8"/>
  <c r="H25" i="8" s="1"/>
  <c r="F34" i="8"/>
  <c r="E34" i="8"/>
  <c r="H34" i="8"/>
  <c r="G34" i="8"/>
  <c r="F24" i="8"/>
  <c r="E24" i="8"/>
  <c r="G24" i="8"/>
  <c r="H24" i="8" s="1"/>
</calcChain>
</file>

<file path=xl/sharedStrings.xml><?xml version="1.0" encoding="utf-8"?>
<sst xmlns="http://schemas.openxmlformats.org/spreadsheetml/2006/main" count="59" uniqueCount="45">
  <si>
    <t>[mm]</t>
  </si>
  <si>
    <t>Thickness in the middle :</t>
  </si>
  <si>
    <t>diameter</t>
  </si>
  <si>
    <t>Width of the finished reed tip :</t>
  </si>
  <si>
    <t>Thickness</t>
  </si>
  <si>
    <t>Option</t>
  </si>
  <si>
    <t>Width of the</t>
  </si>
  <si>
    <t>difference</t>
  </si>
  <si>
    <t>Remarks :</t>
  </si>
  <si>
    <t>Type of bassoon :</t>
  </si>
  <si>
    <t>Bassoon</t>
  </si>
  <si>
    <t>Contra bassoon</t>
  </si>
  <si>
    <t>Contraforte</t>
  </si>
  <si>
    <t>Baroque bassoon</t>
  </si>
  <si>
    <t>How it works :</t>
  </si>
  <si>
    <t>[y]</t>
  </si>
  <si>
    <t>y</t>
  </si>
  <si>
    <t>Cane</t>
  </si>
  <si>
    <t>reed tip</t>
  </si>
  <si>
    <t>in the</t>
  </si>
  <si>
    <t>middle</t>
  </si>
  <si>
    <t>sides</t>
  </si>
  <si>
    <t>at the</t>
  </si>
  <si>
    <t>finished</t>
  </si>
  <si>
    <t>option</t>
  </si>
  <si>
    <t>Product information</t>
  </si>
  <si>
    <t>PI_017_v01-01_EN</t>
  </si>
  <si>
    <t>contact@reedmachines.com  -  www.reedmachines.com</t>
  </si>
  <si>
    <t>Laarweg 7  -  6882 AA  -  Velp  -  Netherlands</t>
  </si>
  <si>
    <t>VAT no. NL852435538B01  -  EORI no. NL852435538</t>
  </si>
  <si>
    <t>2  -  The more the actual cane diameter deviates from the specified diameter, and the less straight and round the</t>
  </si>
  <si>
    <t>3  -  We sell gougers from stock for all indicated options</t>
  </si>
  <si>
    <t>Select</t>
  </si>
  <si>
    <t>Knife</t>
  </si>
  <si>
    <t>(bed set)</t>
  </si>
  <si>
    <t>(carriage set)</t>
  </si>
  <si>
    <t>Cane (bed set) diameter :</t>
  </si>
  <si>
    <t>piece of cane is, the more the calculated values ​​will deviate</t>
  </si>
  <si>
    <t>1  -  You can only select and change the values in the blue cells</t>
  </si>
  <si>
    <t>Calculator for the thickness of gouged bassoon cane</t>
  </si>
  <si>
    <r>
      <t xml:space="preserve">1  -  Choose the </t>
    </r>
    <r>
      <rPr>
        <b/>
        <sz val="8"/>
        <color theme="1"/>
        <rFont val="Proxima Nova Rg"/>
      </rPr>
      <t>Type of oboe</t>
    </r>
    <r>
      <rPr>
        <sz val="8"/>
        <color theme="1"/>
        <rFont val="Proxima Nova Rg"/>
      </rPr>
      <t xml:space="preserve"> from the dropdown list</t>
    </r>
  </si>
  <si>
    <r>
      <t xml:space="preserve">2  -  Choose the </t>
    </r>
    <r>
      <rPr>
        <b/>
        <sz val="8"/>
        <color theme="1"/>
        <rFont val="Proxima Nova Rg"/>
      </rPr>
      <t>Cane (bed set) diameter</t>
    </r>
    <r>
      <rPr>
        <sz val="8"/>
        <color theme="1"/>
        <rFont val="Proxima Nova Rg"/>
      </rPr>
      <t xml:space="preserve"> from the dropdown list</t>
    </r>
  </si>
  <si>
    <r>
      <t xml:space="preserve">3  -  Specify the </t>
    </r>
    <r>
      <rPr>
        <b/>
        <sz val="8"/>
        <color theme="1"/>
        <rFont val="Proxima Nova Rg"/>
      </rPr>
      <t>Thickness in the middle</t>
    </r>
  </si>
  <si>
    <r>
      <t xml:space="preserve">4  -  Specify the </t>
    </r>
    <r>
      <rPr>
        <b/>
        <sz val="8"/>
        <color theme="1"/>
        <rFont val="Proxima Nova Rg"/>
      </rPr>
      <t>Width of the finished reed tip</t>
    </r>
  </si>
  <si>
    <r>
      <t xml:space="preserve">5  -  </t>
    </r>
    <r>
      <rPr>
        <b/>
        <sz val="8"/>
        <color theme="1"/>
        <rFont val="Proxima Nova Rg"/>
      </rPr>
      <t>Select your option</t>
    </r>
    <r>
      <rPr>
        <sz val="8"/>
        <color theme="1"/>
        <rFont val="Proxima Nova Rg"/>
      </rPr>
      <t xml:space="preserve"> and read out the </t>
    </r>
    <r>
      <rPr>
        <b/>
        <sz val="8"/>
        <color theme="1"/>
        <rFont val="Proxima Nova Rg"/>
      </rPr>
      <t>knife (carriage set) diameter</t>
    </r>
    <r>
      <rPr>
        <sz val="8"/>
        <color theme="1"/>
        <rFont val="Proxima Nova Rg"/>
      </rPr>
      <t xml:space="preserve"> you need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</si>
</sst>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Proxima Nova Rg"/>
    </font>
    <font>
      <sz val="10"/>
      <color theme="1"/>
      <name val="Proxima Nova Rg"/>
    </font>
    <font>
      <sz val="8"/>
      <color rgb="FF3A4651"/>
      <name val="Proxima Nova Rg"/>
    </font>
    <font>
      <b/>
      <sz val="12"/>
      <color theme="1"/>
      <name val="Proxima Nova Rg"/>
    </font>
    <font>
      <b/>
      <sz val="8"/>
      <color theme="1"/>
      <name val="Proxima Nova Rg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indent="3"/>
    </xf>
    <xf numFmtId="0" fontId="1" fillId="2" borderId="0" xfId="0" applyFont="1" applyFill="1" applyAlignment="1" applyProtection="1">
      <alignment horizontal="center" vertical="center"/>
      <protection locked="0"/>
    </xf>
    <xf numFmtId="164" fontId="1" fillId="2" borderId="0" xfId="0" applyNumberFormat="1" applyFont="1" applyFill="1" applyAlignment="1" applyProtection="1">
      <alignment horizontal="center" vertical="center"/>
      <protection locked="0"/>
    </xf>
    <xf numFmtId="2" fontId="1" fillId="2" borderId="0" xfId="0" applyNumberFormat="1" applyFont="1" applyFill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hidden="1"/>
    </xf>
    <xf numFmtId="164" fontId="1" fillId="0" borderId="10" xfId="0" applyNumberFormat="1" applyFont="1" applyBorder="1" applyAlignment="1" applyProtection="1">
      <alignment horizontal="center" vertical="center"/>
      <protection hidden="1"/>
    </xf>
    <xf numFmtId="164" fontId="1" fillId="0" borderId="2" xfId="0" applyNumberFormat="1" applyFont="1" applyBorder="1" applyAlignment="1" applyProtection="1">
      <alignment horizontal="center" vertical="center"/>
      <protection hidden="1"/>
    </xf>
    <xf numFmtId="2" fontId="1" fillId="0" borderId="2" xfId="0" applyNumberFormat="1" applyFont="1" applyBorder="1" applyAlignment="1" applyProtection="1">
      <alignment horizontal="center" vertical="center"/>
      <protection hidden="1"/>
    </xf>
    <xf numFmtId="2" fontId="1" fillId="0" borderId="13" xfId="0" applyNumberFormat="1" applyFont="1" applyBorder="1" applyAlignment="1" applyProtection="1">
      <alignment horizontal="center" vertical="center"/>
      <protection hidden="1"/>
    </xf>
    <xf numFmtId="0" fontId="1" fillId="0" borderId="7" xfId="0" applyFont="1" applyBorder="1" applyAlignment="1" applyProtection="1">
      <alignment horizontal="center" vertical="center"/>
      <protection hidden="1"/>
    </xf>
    <xf numFmtId="164" fontId="1" fillId="0" borderId="12" xfId="0" applyNumberFormat="1" applyFont="1" applyBorder="1" applyAlignment="1" applyProtection="1">
      <alignment horizontal="center" vertical="center"/>
      <protection hidden="1"/>
    </xf>
    <xf numFmtId="164" fontId="1" fillId="0" borderId="8" xfId="0" applyNumberFormat="1" applyFont="1" applyBorder="1" applyAlignment="1" applyProtection="1">
      <alignment horizontal="center" vertical="center"/>
      <protection hidden="1"/>
    </xf>
    <xf numFmtId="2" fontId="1" fillId="0" borderId="8" xfId="0" applyNumberFormat="1" applyFont="1" applyBorder="1" applyAlignment="1" applyProtection="1">
      <alignment horizontal="center" vertical="center"/>
      <protection hidden="1"/>
    </xf>
    <xf numFmtId="2" fontId="1" fillId="0" borderId="15" xfId="0" applyNumberFormat="1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164" fontId="1" fillId="0" borderId="0" xfId="0" applyNumberFormat="1" applyFont="1" applyAlignment="1" applyProtection="1">
      <alignment horizontal="center" vertical="center"/>
      <protection hidden="1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3"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FFCC99"/>
        </patternFill>
      </fill>
    </dxf>
  </dxfs>
  <tableStyles count="0" defaultTableStyle="TableStyleMedium9" defaultPivotStyle="PivotStyleLight16"/>
  <colors>
    <mruColors>
      <color rgb="FFFF9900"/>
      <color rgb="FFCC6600"/>
      <color rgb="FFFFCC99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19052</xdr:colOff>
      <xdr:row>0</xdr:row>
      <xdr:rowOff>66677</xdr:rowOff>
    </xdr:from>
    <xdr:to>
      <xdr:col>4</xdr:col>
      <xdr:colOff>282739</xdr:colOff>
      <xdr:row>5</xdr:row>
      <xdr:rowOff>107201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A9C023D-CD1D-A6E6-57A6-FE5AD8608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7" y="266702"/>
          <a:ext cx="2940212" cy="89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444AE-A283-4917-B217-F3E11859A637}">
  <sheetPr>
    <pageSetUpPr fitToPage="1"/>
  </sheetPr>
  <dimension ref="B2:I42"/>
  <sheetViews>
    <sheetView tabSelected="1" workbookViewId="0">
      <selection activeCell="D15" sqref="D15"/>
    </sheetView>
  </sheetViews>
  <sheetFormatPr defaultRowHeight="14.1" customHeight="1" x14ac:dyDescent="0.25"/>
  <cols>
    <col min="1" max="1" width="2.7109375" style="3" customWidth="1"/>
    <col min="2" max="2" width="10.7109375" style="3" customWidth="1"/>
    <col min="3" max="8" width="14.7109375" style="3" customWidth="1"/>
    <col min="9" max="9" width="10.7109375" style="3" customWidth="1"/>
    <col min="10" max="10" width="2.7109375" style="3" customWidth="1"/>
    <col min="11" max="11" width="10.7109375" style="3" customWidth="1"/>
    <col min="12" max="16384" width="9.140625" style="3"/>
  </cols>
  <sheetData>
    <row r="2" spans="2:9" ht="14.1" customHeight="1" x14ac:dyDescent="0.25">
      <c r="I2" s="6" t="s">
        <v>27</v>
      </c>
    </row>
    <row r="3" spans="2:9" ht="14.1" customHeight="1" x14ac:dyDescent="0.25">
      <c r="I3" s="6" t="s">
        <v>28</v>
      </c>
    </row>
    <row r="4" spans="2:9" ht="14.1" customHeight="1" x14ac:dyDescent="0.25">
      <c r="I4" s="6" t="s">
        <v>29</v>
      </c>
    </row>
    <row r="7" spans="2:9" ht="27.95" customHeight="1" x14ac:dyDescent="0.25">
      <c r="B7" s="39" t="s">
        <v>39</v>
      </c>
      <c r="C7" s="39"/>
      <c r="D7" s="39"/>
      <c r="E7" s="39"/>
      <c r="F7" s="39"/>
      <c r="G7" s="39"/>
      <c r="H7" s="39"/>
      <c r="I7" s="39"/>
    </row>
    <row r="9" spans="2:9" s="1" customFormat="1" ht="14.1" customHeight="1" x14ac:dyDescent="0.25">
      <c r="C9" s="7" t="s">
        <v>14</v>
      </c>
      <c r="D9" s="4" t="s">
        <v>40</v>
      </c>
    </row>
    <row r="10" spans="2:9" s="1" customFormat="1" ht="14.1" customHeight="1" x14ac:dyDescent="0.25">
      <c r="D10" s="4" t="s">
        <v>41</v>
      </c>
    </row>
    <row r="11" spans="2:9" s="1" customFormat="1" ht="14.1" customHeight="1" x14ac:dyDescent="0.25">
      <c r="D11" s="4" t="s">
        <v>42</v>
      </c>
    </row>
    <row r="12" spans="2:9" s="1" customFormat="1" ht="14.1" customHeight="1" x14ac:dyDescent="0.25">
      <c r="D12" s="4" t="s">
        <v>43</v>
      </c>
    </row>
    <row r="13" spans="2:9" s="1" customFormat="1" ht="14.1" customHeight="1" x14ac:dyDescent="0.25">
      <c r="D13" s="4" t="s">
        <v>44</v>
      </c>
    </row>
    <row r="14" spans="2:9" s="1" customFormat="1" ht="14.1" customHeight="1" x14ac:dyDescent="0.25"/>
    <row r="15" spans="2:9" s="1" customFormat="1" ht="14.1" customHeight="1" x14ac:dyDescent="0.25">
      <c r="C15" s="5" t="s">
        <v>9</v>
      </c>
      <c r="D15" s="20" t="s">
        <v>10</v>
      </c>
    </row>
    <row r="16" spans="2:9" s="1" customFormat="1" ht="14.1" customHeight="1" x14ac:dyDescent="0.25">
      <c r="C16" s="5" t="s">
        <v>36</v>
      </c>
      <c r="D16" s="21">
        <v>26</v>
      </c>
      <c r="E16" s="1" t="s">
        <v>0</v>
      </c>
      <c r="F16" s="4"/>
    </row>
    <row r="17" spans="2:9" s="1" customFormat="1" ht="14.1" customHeight="1" x14ac:dyDescent="0.25">
      <c r="C17" s="5" t="s">
        <v>1</v>
      </c>
      <c r="D17" s="22">
        <v>1.25</v>
      </c>
      <c r="E17" s="1" t="s">
        <v>0</v>
      </c>
      <c r="F17" s="4"/>
    </row>
    <row r="18" spans="2:9" s="1" customFormat="1" ht="14.1" customHeight="1" x14ac:dyDescent="0.25">
      <c r="C18" s="5" t="s">
        <v>3</v>
      </c>
      <c r="D18" s="21">
        <v>16</v>
      </c>
      <c r="E18" s="1" t="s">
        <v>0</v>
      </c>
      <c r="F18" s="4"/>
    </row>
    <row r="19" spans="2:9" s="1" customFormat="1" ht="14.1" customHeight="1" x14ac:dyDescent="0.25"/>
    <row r="20" spans="2:9" s="1" customFormat="1" ht="14.1" customHeight="1" x14ac:dyDescent="0.25">
      <c r="B20" s="8" t="s">
        <v>5</v>
      </c>
      <c r="C20" s="9" t="s">
        <v>17</v>
      </c>
      <c r="D20" s="10" t="s">
        <v>33</v>
      </c>
      <c r="E20" s="9" t="s">
        <v>6</v>
      </c>
      <c r="F20" s="37" t="s">
        <v>4</v>
      </c>
      <c r="G20" s="38"/>
      <c r="H20" s="38"/>
      <c r="I20" s="13" t="s">
        <v>32</v>
      </c>
    </row>
    <row r="21" spans="2:9" s="1" customFormat="1" ht="14.1" customHeight="1" x14ac:dyDescent="0.25">
      <c r="B21" s="8"/>
      <c r="C21" s="9" t="s">
        <v>34</v>
      </c>
      <c r="D21" s="10" t="s">
        <v>35</v>
      </c>
      <c r="E21" s="9" t="s">
        <v>23</v>
      </c>
      <c r="F21" s="12" t="s">
        <v>19</v>
      </c>
      <c r="G21" s="12" t="s">
        <v>22</v>
      </c>
      <c r="H21" s="11" t="s">
        <v>7</v>
      </c>
      <c r="I21" s="13" t="s">
        <v>24</v>
      </c>
    </row>
    <row r="22" spans="2:9" s="1" customFormat="1" ht="14.1" customHeight="1" x14ac:dyDescent="0.25">
      <c r="B22" s="8"/>
      <c r="C22" s="9" t="s">
        <v>2</v>
      </c>
      <c r="D22" s="10" t="s">
        <v>2</v>
      </c>
      <c r="E22" s="9" t="s">
        <v>18</v>
      </c>
      <c r="F22" s="9" t="s">
        <v>20</v>
      </c>
      <c r="G22" s="10" t="s">
        <v>21</v>
      </c>
      <c r="H22" s="11"/>
      <c r="I22" s="13"/>
    </row>
    <row r="23" spans="2:9" s="1" customFormat="1" ht="14.1" customHeight="1" thickBot="1" x14ac:dyDescent="0.3">
      <c r="B23" s="14"/>
      <c r="C23" s="15" t="s">
        <v>0</v>
      </c>
      <c r="D23" s="16" t="s">
        <v>0</v>
      </c>
      <c r="E23" s="15" t="s">
        <v>0</v>
      </c>
      <c r="F23" s="15" t="s">
        <v>0</v>
      </c>
      <c r="G23" s="16" t="s">
        <v>0</v>
      </c>
      <c r="H23" s="17" t="s">
        <v>0</v>
      </c>
      <c r="I23" s="18" t="s">
        <v>15</v>
      </c>
    </row>
    <row r="24" spans="2:9" s="1" customFormat="1" ht="14.1" customHeight="1" x14ac:dyDescent="0.25">
      <c r="B24" s="25">
        <f>IF('D01'!B6&gt;=1,1,"")</f>
        <v>1</v>
      </c>
      <c r="C24" s="26">
        <f>IF(B24&lt;&gt;"",IF(COUNTIF('D01'!$D$6:$M$6,"="&amp;$D$16)=0,"Invalid diameter",$D$16),"")</f>
        <v>26</v>
      </c>
      <c r="D24" s="27">
        <f ca="1">IF(B24&lt;&gt;"",IF(C24="Invalid diameter","",VLOOKUP($D$16,INDIRECT('D01'!$C$6),B24+1,FALSE)),"")</f>
        <v>21.5</v>
      </c>
      <c r="E24" s="27">
        <f ca="1">IF(D24="","",$D$18)</f>
        <v>16</v>
      </c>
      <c r="F24" s="28">
        <f ca="1">IF(D24="","",$D$17)</f>
        <v>1.25</v>
      </c>
      <c r="G24" s="28">
        <f ca="1">IF(D24="","",SQRT(((2*SIN($D$18/$D$16)*($D$16/2))/2)^2+((SQRT(($D$16/2)^2-((2*SIN($D$18/$D$16)*($D$16/2))/2)^2))+(($D24/2)+$D$17-($D$16/2)))^2)-($D24/2))</f>
        <v>1.4471169354227875</v>
      </c>
      <c r="H24" s="29">
        <f ca="1">IF(D24="","",$D$17-G24)</f>
        <v>-0.19711693542278752</v>
      </c>
      <c r="I24" s="23"/>
    </row>
    <row r="25" spans="2:9" s="1" customFormat="1" ht="14.1" customHeight="1" x14ac:dyDescent="0.25">
      <c r="B25" s="30">
        <f>IF('D01'!B6&gt;=2,2,"")</f>
        <v>2</v>
      </c>
      <c r="C25" s="31">
        <f>IF(B25&lt;&gt;"",IF(COUNTIF('D01'!$D$6:$M$6,"="&amp;$D$16)=0,"Invalid diameter",$D$16),"")</f>
        <v>26</v>
      </c>
      <c r="D25" s="32">
        <f ca="1">IF(B25&lt;&gt;"",IF(C25="Invalid diameter","",VLOOKUP($D$16,INDIRECT('D01'!$C$6),B25+1,FALSE)),"")</f>
        <v>22.5</v>
      </c>
      <c r="E25" s="32">
        <f t="shared" ref="E25:E35" ca="1" si="0">IF(D25="","",$D$18)</f>
        <v>16</v>
      </c>
      <c r="F25" s="33">
        <f t="shared" ref="F25:F35" ca="1" si="1">IF(D25="","",$D$17)</f>
        <v>1.25</v>
      </c>
      <c r="G25" s="33">
        <f t="shared" ref="G25:G35" ca="1" si="2">IF(D25="","",SQRT(((2*SIN($D$18/$D$16)*($D$16/2))/2)^2+((SQRT(($D$16/2)^2-((2*SIN($D$18/$D$16)*($D$16/2))/2)^2))+(($D25/2)+$D$17-($D$16/2)))^2)-($D25/2))</f>
        <v>1.3450319875810042</v>
      </c>
      <c r="H25" s="34">
        <f t="shared" ref="H25:H35" ca="1" si="3">IF(D25="","",$D$17-G25)</f>
        <v>-9.5031987581004174E-2</v>
      </c>
      <c r="I25" s="24"/>
    </row>
    <row r="26" spans="2:9" s="1" customFormat="1" ht="14.1" customHeight="1" x14ac:dyDescent="0.25">
      <c r="B26" s="30">
        <f>IF('D01'!B6&gt;=3,3,"")</f>
        <v>3</v>
      </c>
      <c r="C26" s="31">
        <f>IF(B26&lt;&gt;"",IF(COUNTIF('D01'!$D$6:$M$6,"="&amp;$D$16)=0,"Invalid diameter",$D$16),"")</f>
        <v>26</v>
      </c>
      <c r="D26" s="32">
        <f ca="1">IF(B26&lt;&gt;"",IF(C26="Invalid diameter","",VLOOKUP($D$16,INDIRECT('D01'!$C$6),B26+1,FALSE)),"")</f>
        <v>23.5</v>
      </c>
      <c r="E26" s="32">
        <f t="shared" ca="1" si="0"/>
        <v>16</v>
      </c>
      <c r="F26" s="33">
        <f t="shared" ca="1" si="1"/>
        <v>1.25</v>
      </c>
      <c r="G26" s="33">
        <f t="shared" ca="1" si="2"/>
        <v>1.25</v>
      </c>
      <c r="H26" s="34">
        <f t="shared" ca="1" si="3"/>
        <v>0</v>
      </c>
      <c r="I26" s="24"/>
    </row>
    <row r="27" spans="2:9" s="1" customFormat="1" ht="14.1" customHeight="1" x14ac:dyDescent="0.25">
      <c r="B27" s="30">
        <f>IF('D01'!B6&gt;=4,4,"")</f>
        <v>4</v>
      </c>
      <c r="C27" s="31">
        <f>IF(B27&lt;&gt;"",IF(COUNTIF('D01'!$D$6:$M$6,"="&amp;$D$16)=0,"Invalid diameter",$D$16),"")</f>
        <v>26</v>
      </c>
      <c r="D27" s="32">
        <f ca="1">IF(B27&lt;&gt;"",IF(C27="Invalid diameter","",VLOOKUP($D$16,INDIRECT('D01'!$C$6),B27+1,FALSE)),"")</f>
        <v>24</v>
      </c>
      <c r="E27" s="32">
        <f t="shared" ca="1" si="0"/>
        <v>16</v>
      </c>
      <c r="F27" s="33">
        <f t="shared" ca="1" si="1"/>
        <v>1.25</v>
      </c>
      <c r="G27" s="33">
        <f t="shared" ca="1" si="2"/>
        <v>1.2049265282282295</v>
      </c>
      <c r="H27" s="34">
        <f t="shared" ca="1" si="3"/>
        <v>4.5073471771770457E-2</v>
      </c>
      <c r="I27" s="24"/>
    </row>
    <row r="28" spans="2:9" s="1" customFormat="1" ht="14.1" customHeight="1" x14ac:dyDescent="0.25">
      <c r="B28" s="30">
        <f>IF('D01'!B6&gt;=5,5,"")</f>
        <v>5</v>
      </c>
      <c r="C28" s="31">
        <f>IF(B28&lt;&gt;"",IF(COUNTIF('D01'!$D$6:$M$6,"="&amp;$D$16)=0,"Invalid diameter",$D$16),"")</f>
        <v>26</v>
      </c>
      <c r="D28" s="32">
        <f ca="1">IF(B28&lt;&gt;"",IF(C28="Invalid diameter","",VLOOKUP($D$16,INDIRECT('D01'!$C$6),B28+1,FALSE)),"")</f>
        <v>25</v>
      </c>
      <c r="E28" s="32">
        <f t="shared" ca="1" si="0"/>
        <v>16</v>
      </c>
      <c r="F28" s="33">
        <f t="shared" ca="1" si="1"/>
        <v>1.25</v>
      </c>
      <c r="G28" s="33">
        <f t="shared" ca="1" si="2"/>
        <v>1.119297112836513</v>
      </c>
      <c r="H28" s="34">
        <f t="shared" ca="1" si="3"/>
        <v>0.13070288716348699</v>
      </c>
      <c r="I28" s="24"/>
    </row>
    <row r="29" spans="2:9" s="1" customFormat="1" ht="14.1" customHeight="1" x14ac:dyDescent="0.25">
      <c r="B29" s="30">
        <f>IF('D01'!B6&gt;=6,6,"")</f>
        <v>6</v>
      </c>
      <c r="C29" s="31">
        <f>IF(B29&lt;&gt;"",IF(COUNTIF('D01'!$D$6:$M$6,"="&amp;$D$16)=0,"Invalid diameter",$D$16),"")</f>
        <v>26</v>
      </c>
      <c r="D29" s="32">
        <f ca="1">IF(B29&lt;&gt;"",IF(C29="Invalid diameter","",VLOOKUP($D$16,INDIRECT('D01'!$C$6),B29+1,FALSE)),"")</f>
        <v>26</v>
      </c>
      <c r="E29" s="32">
        <f t="shared" ca="1" si="0"/>
        <v>16</v>
      </c>
      <c r="F29" s="33">
        <f t="shared" ca="1" si="1"/>
        <v>1.25</v>
      </c>
      <c r="G29" s="33">
        <f t="shared" ca="1" si="2"/>
        <v>1.0392458159093536</v>
      </c>
      <c r="H29" s="34">
        <f t="shared" ca="1" si="3"/>
        <v>0.21075418409064639</v>
      </c>
      <c r="I29" s="24"/>
    </row>
    <row r="30" spans="2:9" s="1" customFormat="1" ht="14.1" customHeight="1" x14ac:dyDescent="0.25">
      <c r="B30" s="30">
        <f>IF('D01'!B6&gt;=7,7,"")</f>
        <v>7</v>
      </c>
      <c r="C30" s="31">
        <f>IF(B30&lt;&gt;"",IF(COUNTIF('D01'!$D$6:$M$6,"="&amp;$D$16)=0,"Invalid diameter",$D$16),"")</f>
        <v>26</v>
      </c>
      <c r="D30" s="32">
        <f ca="1">IF(B30&lt;&gt;"",IF(C30="Invalid diameter","",VLOOKUP($D$16,INDIRECT('D01'!$C$6),B30+1,FALSE)),"")</f>
        <v>27</v>
      </c>
      <c r="E30" s="32">
        <f t="shared" ca="1" si="0"/>
        <v>16</v>
      </c>
      <c r="F30" s="33">
        <f t="shared" ca="1" si="1"/>
        <v>1.25</v>
      </c>
      <c r="G30" s="33">
        <f t="shared" ca="1" si="2"/>
        <v>0.96428678889282793</v>
      </c>
      <c r="H30" s="34">
        <f t="shared" ca="1" si="3"/>
        <v>0.28571321110717207</v>
      </c>
      <c r="I30" s="24"/>
    </row>
    <row r="31" spans="2:9" s="1" customFormat="1" ht="14.1" customHeight="1" x14ac:dyDescent="0.25">
      <c r="B31" s="30">
        <f>IF('D01'!B6&gt;=8,8,"")</f>
        <v>8</v>
      </c>
      <c r="C31" s="31">
        <f>IF(B31&lt;&gt;"",IF(COUNTIF('D01'!$D$6:$M$6,"="&amp;$D$16)=0,"Invalid diameter",$D$16),"")</f>
        <v>26</v>
      </c>
      <c r="D31" s="32">
        <f ca="1">IF(B31&lt;&gt;"",IF(C31="Invalid diameter","",VLOOKUP($D$16,INDIRECT('D01'!$C$6),B31+1,FALSE)),"")</f>
        <v>28</v>
      </c>
      <c r="E31" s="32">
        <f t="shared" ca="1" si="0"/>
        <v>16</v>
      </c>
      <c r="F31" s="33">
        <f t="shared" ca="1" si="1"/>
        <v>1.25</v>
      </c>
      <c r="G31" s="33">
        <f t="shared" ca="1" si="2"/>
        <v>0.89398407220683573</v>
      </c>
      <c r="H31" s="34">
        <f t="shared" ca="1" si="3"/>
        <v>0.35601592779316427</v>
      </c>
      <c r="I31" s="24"/>
    </row>
    <row r="32" spans="2:9" s="1" customFormat="1" ht="14.1" customHeight="1" x14ac:dyDescent="0.25">
      <c r="B32" s="30">
        <f>IF('D01'!B6&gt;=9,9,"")</f>
        <v>9</v>
      </c>
      <c r="C32" s="31">
        <f>IF(B32&lt;&gt;"",IF(COUNTIF('D01'!$D$6:$M$6,"="&amp;$D$16)=0,"Invalid diameter",$D$16),"")</f>
        <v>26</v>
      </c>
      <c r="D32" s="32">
        <f ca="1">IF(B32&lt;&gt;"",IF(C32="Invalid diameter","",VLOOKUP($D$16,INDIRECT('D01'!$C$6),B32+1,FALSE)),"")</f>
        <v>29</v>
      </c>
      <c r="E32" s="32">
        <f t="shared" ca="1" si="0"/>
        <v>16</v>
      </c>
      <c r="F32" s="33">
        <f t="shared" ca="1" si="1"/>
        <v>1.25</v>
      </c>
      <c r="G32" s="33">
        <f t="shared" ca="1" si="2"/>
        <v>0.82794607163537215</v>
      </c>
      <c r="H32" s="34">
        <f t="shared" ca="1" si="3"/>
        <v>0.42205392836462785</v>
      </c>
      <c r="I32" s="24"/>
    </row>
    <row r="33" spans="2:9" s="1" customFormat="1" ht="14.1" customHeight="1" x14ac:dyDescent="0.25">
      <c r="B33" s="30">
        <f>IF('D01'!B6&gt;=10,10,"")</f>
        <v>10</v>
      </c>
      <c r="C33" s="31">
        <f>IF(B33&lt;&gt;"",IF(COUNTIF('D01'!$D$6:$M$6,"="&amp;$D$16)=0,"Invalid diameter",$D$16),"")</f>
        <v>26</v>
      </c>
      <c r="D33" s="32">
        <f ca="1">IF(B33&lt;&gt;"",IF(C33="Invalid diameter","",VLOOKUP($D$16,INDIRECT('D01'!$C$6),B33+1,FALSE)),"")</f>
        <v>30</v>
      </c>
      <c r="E33" s="32">
        <f t="shared" ca="1" si="0"/>
        <v>16</v>
      </c>
      <c r="F33" s="33">
        <f t="shared" ca="1" si="1"/>
        <v>1.25</v>
      </c>
      <c r="G33" s="33">
        <f t="shared" ca="1" si="2"/>
        <v>0.76582062585939603</v>
      </c>
      <c r="H33" s="34">
        <f t="shared" ca="1" si="3"/>
        <v>0.48417937414060397</v>
      </c>
      <c r="I33" s="24"/>
    </row>
    <row r="34" spans="2:9" s="1" customFormat="1" ht="14.1" customHeight="1" x14ac:dyDescent="0.25">
      <c r="B34" s="30" t="str">
        <f>IF('D01'!B6&gt;=11,11,"")</f>
        <v/>
      </c>
      <c r="C34" s="31" t="str">
        <f>IF(B34&lt;&gt;"",IF(COUNTIF('D01'!$D$6:$M$6,"="&amp;$D$16)=0,"Invalid diameter",$D$16),"")</f>
        <v/>
      </c>
      <c r="D34" s="32" t="str">
        <f ca="1">IF(B34&lt;&gt;"",IF(C34="Invalid diameter","",VLOOKUP($D$16,INDIRECT('D01'!$C$6),B34+1,FALSE)),"")</f>
        <v/>
      </c>
      <c r="E34" s="32" t="str">
        <f t="shared" ca="1" si="0"/>
        <v/>
      </c>
      <c r="F34" s="33" t="str">
        <f t="shared" ca="1" si="1"/>
        <v/>
      </c>
      <c r="G34" s="33" t="str">
        <f t="shared" ca="1" si="2"/>
        <v/>
      </c>
      <c r="H34" s="34" t="str">
        <f t="shared" ca="1" si="3"/>
        <v/>
      </c>
      <c r="I34" s="24"/>
    </row>
    <row r="35" spans="2:9" s="1" customFormat="1" ht="14.1" customHeight="1" x14ac:dyDescent="0.25">
      <c r="B35" s="30" t="str">
        <f>IF('D01'!B6&gt;=12,12,"")</f>
        <v/>
      </c>
      <c r="C35" s="31" t="str">
        <f>IF(B35&lt;&gt;"",IF(COUNTIF('D01'!$D$6:$M$6,"="&amp;$D$16)=0,"Invalid diameter",$D$16),"")</f>
        <v/>
      </c>
      <c r="D35" s="32" t="str">
        <f ca="1">IF(B35&lt;&gt;"",IF(C35="Invalid diameter","",VLOOKUP($D$16,INDIRECT('D01'!$C$6),B35+1,FALSE)),"")</f>
        <v/>
      </c>
      <c r="E35" s="32" t="str">
        <f t="shared" ca="1" si="0"/>
        <v/>
      </c>
      <c r="F35" s="33" t="str">
        <f t="shared" ca="1" si="1"/>
        <v/>
      </c>
      <c r="G35" s="33" t="str">
        <f t="shared" ca="1" si="2"/>
        <v/>
      </c>
      <c r="H35" s="34" t="str">
        <f t="shared" ca="1" si="3"/>
        <v/>
      </c>
      <c r="I35" s="24"/>
    </row>
    <row r="36" spans="2:9" s="1" customFormat="1" ht="14.1" customHeight="1" x14ac:dyDescent="0.25"/>
    <row r="37" spans="2:9" s="1" customFormat="1" ht="14.1" customHeight="1" x14ac:dyDescent="0.25">
      <c r="C37" s="7" t="s">
        <v>8</v>
      </c>
      <c r="D37" s="4" t="s">
        <v>38</v>
      </c>
    </row>
    <row r="38" spans="2:9" s="1" customFormat="1" ht="14.1" customHeight="1" x14ac:dyDescent="0.25">
      <c r="C38" s="7"/>
      <c r="D38" s="4" t="s">
        <v>30</v>
      </c>
    </row>
    <row r="39" spans="2:9" s="1" customFormat="1" ht="14.1" customHeight="1" x14ac:dyDescent="0.25">
      <c r="C39" s="7"/>
      <c r="D39" s="19" t="s">
        <v>37</v>
      </c>
    </row>
    <row r="40" spans="2:9" s="1" customFormat="1" ht="14.1" customHeight="1" x14ac:dyDescent="0.25">
      <c r="D40" s="4" t="s">
        <v>31</v>
      </c>
    </row>
    <row r="42" spans="2:9" s="1" customFormat="1" ht="14.1" customHeight="1" x14ac:dyDescent="0.25">
      <c r="B42" s="4" t="s">
        <v>26</v>
      </c>
      <c r="I42" s="5" t="s">
        <v>25</v>
      </c>
    </row>
  </sheetData>
  <sheetProtection algorithmName="SHA-512" hashValue="uZMd2OzkAreXIirSRqe0BRDvWlMWN99Iy7A07NOm87kAiPe/xHh6igazo0Rou6znDWl5PKqD9czgkMnVvZPXuw==" saltValue="i1jmMib7U4Vw+FdOeYlXyA==" spinCount="100000" sheet="1" selectLockedCells="1"/>
  <mergeCells count="2">
    <mergeCell ref="F20:H20"/>
    <mergeCell ref="B7:I7"/>
  </mergeCells>
  <conditionalFormatting sqref="B24:C35 E24:I35">
    <cfRule type="expression" dxfId="2" priority="1">
      <formula>$I24="y"</formula>
    </cfRule>
  </conditionalFormatting>
  <conditionalFormatting sqref="D16">
    <cfRule type="expression" dxfId="1" priority="3">
      <formula>$C$24="Invalid diameter"</formula>
    </cfRule>
  </conditionalFormatting>
  <conditionalFormatting sqref="D24:D35">
    <cfRule type="expression" dxfId="0" priority="2">
      <formula>$I24="y"</formula>
    </cfRule>
  </conditionalFormatting>
  <pageMargins left="0.7" right="0.7" top="0.75" bottom="0.75" header="0.3" footer="0.3"/>
  <pageSetup paperSize="9" scale="6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="Cane (bed) diameter outr of range" prompt="Open the dropdown list and select the cane diameter" xr:uid="{237DF796-026A-4ABE-BAE0-34B1447C6C78}">
          <x14:formula1>
            <xm:f>INDIRECT('D01'!$D$6)</xm:f>
          </x14:formula1>
          <xm:sqref>D16</xm:sqref>
        </x14:dataValidation>
        <x14:dataValidation type="list" allowBlank="1" showInputMessage="1" showErrorMessage="1" prompt="Open the dropdown list and select the type of bassoon" xr:uid="{CB22999E-1C31-4808-8AA8-AA9293FF4AB9}">
          <x14:formula1>
            <xm:f>'D01'!$A$1:$A$4</xm:f>
          </x14:formula1>
          <xm:sqref>D15</xm:sqref>
        </x14:dataValidation>
        <x14:dataValidation type="list" allowBlank="1" showInputMessage="1" showErrorMessage="1" prompt="Place a &quot;y&quot; in this cell to highlight this option, otherwise leave it empty" xr:uid="{714AF8A5-D22E-41DA-B2F6-7FE9B4D951DF}">
          <x14:formula1>
            <xm:f>'D01'!$A$33</xm:f>
          </x14:formula1>
          <xm:sqref>I24:I35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C64BD-8724-4430-A90B-C567CAE0CC76}">
  <dimension ref="A1:N33"/>
  <sheetViews>
    <sheetView workbookViewId="0">
      <selection activeCell="A35" sqref="A35"/>
    </sheetView>
  </sheetViews>
  <sheetFormatPr defaultRowHeight="14.1" customHeight="1" x14ac:dyDescent="0.25"/>
  <cols>
    <col min="1" max="13" width="15.7109375" style="1" customWidth="1"/>
    <col min="14" max="16384" width="9.140625" style="1"/>
  </cols>
  <sheetData>
    <row r="1" spans="1:14" ht="14.1" customHeight="1" x14ac:dyDescent="0.25">
      <c r="A1" s="1" t="s">
        <v>10</v>
      </c>
      <c r="B1" s="1">
        <v>10</v>
      </c>
      <c r="C1" s="1" t="str">
        <f>"'D01'!$A$10:$M$14"</f>
        <v>'D01'!$A$10:$M$14</v>
      </c>
      <c r="D1" s="1" t="str">
        <f>"'D01'!$E$6:$I$6"</f>
        <v>'D01'!$E$6:$I$6</v>
      </c>
      <c r="E1" s="2">
        <v>24</v>
      </c>
      <c r="F1" s="2">
        <v>25</v>
      </c>
      <c r="G1" s="2">
        <v>26</v>
      </c>
      <c r="H1" s="2">
        <v>27</v>
      </c>
      <c r="I1" s="2">
        <v>28</v>
      </c>
      <c r="J1" s="2"/>
      <c r="K1" s="2"/>
      <c r="N1" s="2"/>
    </row>
    <row r="2" spans="1:14" ht="14.1" customHeight="1" x14ac:dyDescent="0.25">
      <c r="A2" s="1" t="s">
        <v>11</v>
      </c>
      <c r="B2" s="1">
        <v>4</v>
      </c>
      <c r="C2" s="1" t="str">
        <f>"'D01'!$A$17:$M$20"</f>
        <v>'D01'!$A$17:$M$20</v>
      </c>
      <c r="D2" s="1" t="str">
        <f>"'D01'!$E$6:$H$6"</f>
        <v>'D01'!$E$6:$H$6</v>
      </c>
      <c r="E2" s="2">
        <v>25</v>
      </c>
      <c r="F2" s="2">
        <v>28</v>
      </c>
      <c r="G2" s="2">
        <v>30</v>
      </c>
      <c r="H2" s="2">
        <v>32</v>
      </c>
      <c r="I2" s="2"/>
      <c r="J2" s="2"/>
      <c r="K2" s="2"/>
      <c r="N2" s="2"/>
    </row>
    <row r="3" spans="1:14" ht="14.1" customHeight="1" x14ac:dyDescent="0.25">
      <c r="A3" s="1" t="s">
        <v>12</v>
      </c>
      <c r="B3" s="1">
        <v>2</v>
      </c>
      <c r="C3" s="1" t="str">
        <f>"'D01'!$A$23:$M$24"</f>
        <v>'D01'!$A$23:$M$24</v>
      </c>
      <c r="D3" s="1" t="str">
        <f>"'D01'!$E$6:$F$6"</f>
        <v>'D01'!$E$6:$F$6</v>
      </c>
      <c r="E3" s="2">
        <v>30</v>
      </c>
      <c r="F3" s="2">
        <v>32</v>
      </c>
      <c r="G3" s="2"/>
      <c r="H3" s="2"/>
      <c r="I3" s="2"/>
      <c r="J3" s="2"/>
      <c r="K3" s="2"/>
      <c r="L3" s="2"/>
      <c r="M3" s="2"/>
      <c r="N3" s="2"/>
    </row>
    <row r="4" spans="1:14" ht="14.1" customHeight="1" x14ac:dyDescent="0.25">
      <c r="A4" s="1" t="s">
        <v>13</v>
      </c>
      <c r="B4" s="1">
        <v>10</v>
      </c>
      <c r="C4" s="1" t="str">
        <f>"'D01'!$A$27:$M$31"</f>
        <v>'D01'!$A$27:$M$31</v>
      </c>
      <c r="D4" s="1" t="str">
        <f>"'D01'!$E$6:$I$6"</f>
        <v>'D01'!$E$6:$I$6</v>
      </c>
      <c r="E4" s="2">
        <v>25</v>
      </c>
      <c r="F4" s="2">
        <v>26</v>
      </c>
      <c r="G4" s="2">
        <v>27</v>
      </c>
      <c r="H4" s="2">
        <v>28</v>
      </c>
      <c r="I4" s="2">
        <v>30</v>
      </c>
      <c r="J4" s="2"/>
      <c r="K4" s="2"/>
      <c r="L4" s="2"/>
      <c r="M4" s="2"/>
      <c r="N4" s="2"/>
    </row>
    <row r="5" spans="1:14" ht="14.1" customHeight="1" x14ac:dyDescent="0.25"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14.1" customHeight="1" x14ac:dyDescent="0.25">
      <c r="A6" s="35" t="str">
        <f>VLOOKUP(BA!D15,$A$1:$N$4,1,FALSE)</f>
        <v>Bassoon</v>
      </c>
      <c r="B6" s="35">
        <f>VLOOKUP(BA!D15,$A$1:$N$4,2,FALSE)</f>
        <v>10</v>
      </c>
      <c r="C6" s="36" t="str">
        <f>VLOOKUP(BA!D15,$A$1:$N$4,3,FALSE)</f>
        <v>'D01'!$A$10:$M$14</v>
      </c>
      <c r="D6" s="35" t="str">
        <f>VLOOKUP(BA!D15,$A$1:$N$4,4,FALSE)</f>
        <v>'D01'!$E$6:$I$6</v>
      </c>
      <c r="E6" s="36">
        <f>VLOOKUP(BA!D15,$A$1:$N$4,5,FALSE)</f>
        <v>24</v>
      </c>
      <c r="F6" s="36">
        <f>VLOOKUP(BA!D15,$A$1:$N$4,6,FALSE)</f>
        <v>25</v>
      </c>
      <c r="G6" s="36">
        <f>VLOOKUP(BA!D15,$A$1:$N$4,7,FALSE)</f>
        <v>26</v>
      </c>
      <c r="H6" s="36">
        <f>VLOOKUP(BA!D15,$A$1:$N$4,8,FALSE)</f>
        <v>27</v>
      </c>
      <c r="I6" s="36">
        <f>VLOOKUP(BA!D15,$A$1:$N$4,9,FALSE)</f>
        <v>28</v>
      </c>
      <c r="J6" s="36">
        <f>VLOOKUP(BA!D15,$A$1:$N$4,10,FALSE)</f>
        <v>0</v>
      </c>
      <c r="K6" s="36">
        <f>VLOOKUP(BA!D15,$A$1:$N$4,11,FALSE)</f>
        <v>0</v>
      </c>
      <c r="L6" s="36">
        <f>VLOOKUP(BA!D15,$A$1:$N$4,12,FALSE)</f>
        <v>0</v>
      </c>
      <c r="M6" s="36">
        <f>VLOOKUP(BA!D15,$A$1:$N$4,13,FALSE)</f>
        <v>0</v>
      </c>
    </row>
    <row r="7" spans="1:14" ht="14.1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9" spans="1:14" ht="14.1" customHeight="1" x14ac:dyDescent="0.25">
      <c r="A9" s="1" t="s">
        <v>10</v>
      </c>
      <c r="B9" s="1">
        <v>1</v>
      </c>
      <c r="C9" s="1">
        <v>2</v>
      </c>
      <c r="D9" s="1">
        <v>3</v>
      </c>
      <c r="E9" s="1">
        <v>4</v>
      </c>
      <c r="F9" s="1">
        <v>5</v>
      </c>
      <c r="G9" s="1">
        <v>6</v>
      </c>
      <c r="H9" s="1">
        <v>7</v>
      </c>
      <c r="I9" s="1">
        <v>8</v>
      </c>
      <c r="J9" s="1">
        <v>9</v>
      </c>
      <c r="K9" s="1">
        <v>10</v>
      </c>
      <c r="L9" s="1">
        <v>11</v>
      </c>
      <c r="M9" s="1">
        <v>12</v>
      </c>
    </row>
    <row r="10" spans="1:14" ht="14.1" customHeight="1" x14ac:dyDescent="0.25">
      <c r="A10" s="2">
        <v>24</v>
      </c>
      <c r="B10" s="2">
        <v>21.5</v>
      </c>
      <c r="C10" s="2">
        <v>22.5</v>
      </c>
      <c r="D10" s="2">
        <v>23.5</v>
      </c>
      <c r="E10" s="2">
        <v>24</v>
      </c>
      <c r="F10" s="2">
        <v>25</v>
      </c>
      <c r="G10" s="2">
        <v>26</v>
      </c>
      <c r="H10" s="2">
        <v>27</v>
      </c>
      <c r="I10" s="2">
        <v>28</v>
      </c>
      <c r="J10" s="2">
        <v>29</v>
      </c>
      <c r="K10" s="2">
        <v>30</v>
      </c>
      <c r="L10" s="2"/>
    </row>
    <row r="11" spans="1:14" ht="14.1" customHeight="1" x14ac:dyDescent="0.25">
      <c r="A11" s="2">
        <v>25</v>
      </c>
      <c r="B11" s="2">
        <v>21.5</v>
      </c>
      <c r="C11" s="2">
        <v>22.5</v>
      </c>
      <c r="D11" s="2">
        <v>23.5</v>
      </c>
      <c r="E11" s="2">
        <v>24</v>
      </c>
      <c r="F11" s="2">
        <v>25</v>
      </c>
      <c r="G11" s="2">
        <v>26</v>
      </c>
      <c r="H11" s="2">
        <v>27</v>
      </c>
      <c r="I11" s="2">
        <v>28</v>
      </c>
      <c r="J11" s="2">
        <v>29</v>
      </c>
      <c r="K11" s="2">
        <v>30</v>
      </c>
      <c r="L11" s="2"/>
    </row>
    <row r="12" spans="1:14" ht="14.1" customHeight="1" x14ac:dyDescent="0.25">
      <c r="A12" s="2">
        <v>26</v>
      </c>
      <c r="B12" s="2">
        <v>21.5</v>
      </c>
      <c r="C12" s="2">
        <v>22.5</v>
      </c>
      <c r="D12" s="2">
        <v>23.5</v>
      </c>
      <c r="E12" s="2">
        <v>24</v>
      </c>
      <c r="F12" s="2">
        <v>25</v>
      </c>
      <c r="G12" s="2">
        <v>26</v>
      </c>
      <c r="H12" s="2">
        <v>27</v>
      </c>
      <c r="I12" s="2">
        <v>28</v>
      </c>
      <c r="J12" s="2">
        <v>29</v>
      </c>
      <c r="K12" s="2">
        <v>30</v>
      </c>
      <c r="L12" s="2"/>
    </row>
    <row r="13" spans="1:14" ht="14.1" customHeight="1" x14ac:dyDescent="0.25">
      <c r="A13" s="2">
        <v>27</v>
      </c>
      <c r="B13" s="2">
        <v>21.5</v>
      </c>
      <c r="C13" s="2">
        <v>22.5</v>
      </c>
      <c r="D13" s="2">
        <v>23.5</v>
      </c>
      <c r="E13" s="2">
        <v>24</v>
      </c>
      <c r="F13" s="2">
        <v>25</v>
      </c>
      <c r="G13" s="2">
        <v>26</v>
      </c>
      <c r="H13" s="2">
        <v>27</v>
      </c>
      <c r="I13" s="2">
        <v>28</v>
      </c>
      <c r="J13" s="2">
        <v>29</v>
      </c>
      <c r="K13" s="2">
        <v>30</v>
      </c>
      <c r="L13" s="2"/>
    </row>
    <row r="14" spans="1:14" ht="14.1" customHeight="1" x14ac:dyDescent="0.25">
      <c r="A14" s="2">
        <v>28</v>
      </c>
      <c r="B14" s="2">
        <v>21.5</v>
      </c>
      <c r="C14" s="2">
        <v>22.5</v>
      </c>
      <c r="D14" s="2">
        <v>23.5</v>
      </c>
      <c r="E14" s="2">
        <v>24</v>
      </c>
      <c r="F14" s="2">
        <v>25</v>
      </c>
      <c r="G14" s="2">
        <v>26</v>
      </c>
      <c r="H14" s="2">
        <v>27</v>
      </c>
      <c r="I14" s="2">
        <v>28</v>
      </c>
      <c r="J14" s="2">
        <v>29</v>
      </c>
      <c r="K14" s="2">
        <v>30</v>
      </c>
      <c r="L14" s="2"/>
    </row>
    <row r="16" spans="1:14" ht="14.1" customHeight="1" x14ac:dyDescent="0.25">
      <c r="A16" s="1" t="s">
        <v>11</v>
      </c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  <c r="M16" s="1">
        <v>12</v>
      </c>
    </row>
    <row r="17" spans="1:13" ht="14.1" customHeight="1" x14ac:dyDescent="0.25">
      <c r="A17" s="2">
        <v>25</v>
      </c>
      <c r="B17" s="2">
        <v>27</v>
      </c>
      <c r="C17" s="2">
        <v>28</v>
      </c>
      <c r="D17" s="2">
        <v>29</v>
      </c>
      <c r="E17" s="2">
        <v>30</v>
      </c>
      <c r="F17" s="2"/>
      <c r="G17" s="2"/>
      <c r="H17" s="2"/>
      <c r="I17" s="2"/>
      <c r="J17" s="2"/>
      <c r="K17" s="2"/>
      <c r="L17" s="2"/>
    </row>
    <row r="18" spans="1:13" ht="14.1" customHeight="1" x14ac:dyDescent="0.25">
      <c r="A18" s="2">
        <v>28</v>
      </c>
      <c r="B18" s="2">
        <v>27</v>
      </c>
      <c r="C18" s="2">
        <v>28</v>
      </c>
      <c r="D18" s="2">
        <v>29</v>
      </c>
      <c r="E18" s="2">
        <v>30</v>
      </c>
      <c r="F18" s="2"/>
      <c r="G18" s="2"/>
      <c r="H18" s="2"/>
      <c r="I18" s="2"/>
      <c r="J18" s="2"/>
      <c r="K18" s="2"/>
      <c r="L18" s="2"/>
    </row>
    <row r="19" spans="1:13" ht="14.1" customHeight="1" x14ac:dyDescent="0.25">
      <c r="A19" s="2">
        <v>30</v>
      </c>
      <c r="B19" s="2">
        <v>27</v>
      </c>
      <c r="C19" s="2">
        <v>28</v>
      </c>
      <c r="D19" s="2">
        <v>29</v>
      </c>
      <c r="E19" s="2">
        <v>30</v>
      </c>
      <c r="F19" s="2"/>
      <c r="G19" s="2"/>
      <c r="H19" s="2"/>
      <c r="I19" s="2"/>
      <c r="J19" s="2"/>
      <c r="K19" s="2"/>
      <c r="L19" s="2"/>
    </row>
    <row r="20" spans="1:13" ht="14.1" customHeight="1" x14ac:dyDescent="0.25">
      <c r="A20" s="2">
        <v>32</v>
      </c>
      <c r="B20" s="2">
        <v>27</v>
      </c>
      <c r="C20" s="2">
        <v>28</v>
      </c>
      <c r="D20" s="2">
        <v>29</v>
      </c>
      <c r="E20" s="2">
        <v>30</v>
      </c>
      <c r="F20" s="2"/>
      <c r="G20" s="2"/>
      <c r="H20" s="2"/>
      <c r="I20" s="2"/>
      <c r="J20" s="2"/>
      <c r="K20" s="2"/>
      <c r="L20" s="2"/>
    </row>
    <row r="22" spans="1:13" ht="14.1" customHeight="1" x14ac:dyDescent="0.25">
      <c r="A22" s="1" t="s">
        <v>12</v>
      </c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  <c r="M22" s="1">
        <v>12</v>
      </c>
    </row>
    <row r="23" spans="1:13" ht="14.1" customHeight="1" x14ac:dyDescent="0.25">
      <c r="A23" s="2">
        <v>30</v>
      </c>
      <c r="B23" s="2">
        <v>29</v>
      </c>
      <c r="C23" s="2">
        <v>30</v>
      </c>
      <c r="D23" s="2"/>
      <c r="E23" s="2"/>
      <c r="F23" s="2"/>
      <c r="G23" s="2"/>
      <c r="H23" s="2"/>
      <c r="I23" s="2"/>
      <c r="J23" s="2"/>
      <c r="K23" s="2"/>
      <c r="L23" s="2"/>
    </row>
    <row r="24" spans="1:13" ht="14.1" customHeight="1" x14ac:dyDescent="0.25">
      <c r="A24" s="2">
        <v>32</v>
      </c>
      <c r="B24" s="2">
        <v>29</v>
      </c>
      <c r="C24" s="2">
        <v>30</v>
      </c>
      <c r="D24" s="2"/>
      <c r="E24" s="2"/>
      <c r="F24" s="2"/>
      <c r="G24" s="2"/>
      <c r="H24" s="2"/>
      <c r="I24" s="2"/>
      <c r="J24" s="2"/>
      <c r="K24" s="2"/>
      <c r="L24" s="2"/>
    </row>
    <row r="26" spans="1:13" ht="14.1" customHeight="1" x14ac:dyDescent="0.25">
      <c r="A26" s="1" t="s">
        <v>13</v>
      </c>
      <c r="B26" s="1">
        <v>1</v>
      </c>
      <c r="C26" s="1">
        <v>2</v>
      </c>
      <c r="D26" s="1">
        <v>3</v>
      </c>
      <c r="E26" s="1">
        <v>4</v>
      </c>
      <c r="F26" s="1">
        <v>5</v>
      </c>
      <c r="G26" s="1">
        <v>6</v>
      </c>
      <c r="H26" s="1">
        <v>7</v>
      </c>
      <c r="I26" s="1">
        <v>8</v>
      </c>
      <c r="J26" s="1">
        <v>9</v>
      </c>
      <c r="K26" s="1">
        <v>10</v>
      </c>
      <c r="L26" s="1">
        <v>11</v>
      </c>
      <c r="M26" s="1">
        <v>12</v>
      </c>
    </row>
    <row r="27" spans="1:13" ht="14.1" customHeight="1" x14ac:dyDescent="0.25">
      <c r="A27" s="2">
        <v>25</v>
      </c>
      <c r="B27" s="2">
        <v>21.5</v>
      </c>
      <c r="C27" s="2">
        <v>22.5</v>
      </c>
      <c r="D27" s="2">
        <v>23.5</v>
      </c>
      <c r="E27" s="2">
        <v>24</v>
      </c>
      <c r="F27" s="2">
        <v>25</v>
      </c>
      <c r="G27" s="2">
        <v>26</v>
      </c>
      <c r="H27" s="2">
        <v>27</v>
      </c>
      <c r="I27" s="2">
        <v>28</v>
      </c>
      <c r="J27" s="2">
        <v>29</v>
      </c>
      <c r="K27" s="2">
        <v>30</v>
      </c>
      <c r="L27" s="2"/>
    </row>
    <row r="28" spans="1:13" ht="14.1" customHeight="1" x14ac:dyDescent="0.25">
      <c r="A28" s="2">
        <v>26</v>
      </c>
      <c r="B28" s="2">
        <v>21.5</v>
      </c>
      <c r="C28" s="2">
        <v>22.5</v>
      </c>
      <c r="D28" s="2">
        <v>23.5</v>
      </c>
      <c r="E28" s="2">
        <v>24</v>
      </c>
      <c r="F28" s="2">
        <v>25</v>
      </c>
      <c r="G28" s="2">
        <v>26</v>
      </c>
      <c r="H28" s="2">
        <v>27</v>
      </c>
      <c r="I28" s="2">
        <v>28</v>
      </c>
      <c r="J28" s="2">
        <v>29</v>
      </c>
      <c r="K28" s="2">
        <v>30</v>
      </c>
      <c r="L28" s="2"/>
    </row>
    <row r="29" spans="1:13" ht="14.1" customHeight="1" x14ac:dyDescent="0.25">
      <c r="A29" s="2">
        <v>27</v>
      </c>
      <c r="B29" s="2">
        <v>21.5</v>
      </c>
      <c r="C29" s="2">
        <v>22.5</v>
      </c>
      <c r="D29" s="2">
        <v>23.5</v>
      </c>
      <c r="E29" s="2">
        <v>24</v>
      </c>
      <c r="F29" s="2">
        <v>25</v>
      </c>
      <c r="G29" s="2">
        <v>26</v>
      </c>
      <c r="H29" s="2">
        <v>27</v>
      </c>
      <c r="I29" s="2">
        <v>28</v>
      </c>
      <c r="J29" s="2">
        <v>29</v>
      </c>
      <c r="K29" s="2">
        <v>30</v>
      </c>
      <c r="L29" s="2"/>
    </row>
    <row r="30" spans="1:13" ht="14.1" customHeight="1" x14ac:dyDescent="0.25">
      <c r="A30" s="2">
        <v>28</v>
      </c>
      <c r="B30" s="2">
        <v>21.5</v>
      </c>
      <c r="C30" s="2">
        <v>22.5</v>
      </c>
      <c r="D30" s="2">
        <v>23.5</v>
      </c>
      <c r="E30" s="2">
        <v>24</v>
      </c>
      <c r="F30" s="2">
        <v>25</v>
      </c>
      <c r="G30" s="2">
        <v>26</v>
      </c>
      <c r="H30" s="2">
        <v>27</v>
      </c>
      <c r="I30" s="2">
        <v>28</v>
      </c>
      <c r="J30" s="2">
        <v>29</v>
      </c>
      <c r="K30" s="2">
        <v>30</v>
      </c>
      <c r="L30" s="2"/>
    </row>
    <row r="31" spans="1:13" ht="14.1" customHeight="1" x14ac:dyDescent="0.25">
      <c r="A31" s="2">
        <v>30</v>
      </c>
      <c r="B31" s="2">
        <v>21.5</v>
      </c>
      <c r="C31" s="2">
        <v>22.5</v>
      </c>
      <c r="D31" s="2">
        <v>23.5</v>
      </c>
      <c r="E31" s="2">
        <v>24</v>
      </c>
      <c r="F31" s="2">
        <v>25</v>
      </c>
      <c r="G31" s="2">
        <v>26</v>
      </c>
      <c r="H31" s="2">
        <v>27</v>
      </c>
      <c r="I31" s="2">
        <v>28</v>
      </c>
      <c r="J31" s="2">
        <v>29</v>
      </c>
      <c r="K31" s="2">
        <v>30</v>
      </c>
      <c r="L31" s="2"/>
    </row>
    <row r="33" spans="1:1" ht="14.1" customHeight="1" x14ac:dyDescent="0.25">
      <c r="A33" s="1" t="s">
        <v>16</v>
      </c>
    </row>
  </sheetData>
  <sheetProtection algorithmName="SHA-512" hashValue="F/FQ2zQk4mgxt16vFlrKH2OCAIKSkOnWw4uDoVv/uZIO1KmPWITKBUuvxtqrSvWep0qst0p0J7NrDXEo8GTQkQ==" saltValue="UPYcAE9lPMF7FpnhdcIOOg==" spinCount="100000" sheet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</vt:lpstr>
      <vt:lpstr>D01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Arnold</dc:creator>
  <cp:lastModifiedBy>Arnold Telkamp</cp:lastModifiedBy>
  <cp:lastPrinted>2026-05-07T14:30:37Z</cp:lastPrinted>
  <dcterms:created xsi:type="dcterms:W3CDTF">2012-02-18T16:45:20Z</dcterms:created>
  <dcterms:modified xsi:type="dcterms:W3CDTF">2026-05-19T08:07:29Z</dcterms:modified>
</cp:coreProperties>
</file>